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Standard Mode Workbooks/"/>
    </mc:Choice>
  </mc:AlternateContent>
  <xr:revisionPtr revIDLastSave="0" documentId="8_{F34D332A-1E41-2A47-8348-4A4B5BA73D41}" xr6:coauthVersionLast="47" xr6:coauthVersionMax="47" xr10:uidLastSave="{00000000-0000-0000-0000-000000000000}"/>
  <bookViews>
    <workbookView xWindow="0" yWindow="500" windowWidth="26840" windowHeight="16140" activeTab="4" xr2:uid="{00000000-000D-0000-FFFF-FFFF00000000}"/>
  </bookViews>
  <sheets>
    <sheet name="Hall of Fame" sheetId="1" r:id="rId1"/>
    <sheet name="MVP" sheetId="2" r:id="rId2"/>
    <sheet name="That Pitcher Award" sheetId="3" r:id="rId3"/>
    <sheet name="Reliever of Year" sheetId="5" r:id="rId4"/>
    <sheet name="Rookie of Year" sheetId="12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9" i="12" l="1"/>
  <c r="Q110" i="12"/>
  <c r="D110" i="12"/>
  <c r="Z110" i="12"/>
  <c r="H110" i="12"/>
  <c r="J110" i="12"/>
  <c r="E110" i="12"/>
  <c r="G110" i="12"/>
  <c r="K110" i="12"/>
  <c r="L110" i="12"/>
  <c r="F110" i="12"/>
  <c r="I110" i="12"/>
  <c r="M110" i="12"/>
  <c r="N110" i="12"/>
  <c r="Q100" i="12"/>
  <c r="D100" i="12"/>
  <c r="Z100" i="12"/>
  <c r="H100" i="12"/>
  <c r="J100" i="12"/>
  <c r="E100" i="12"/>
  <c r="G100" i="12"/>
  <c r="K100" i="12"/>
  <c r="L100" i="12"/>
  <c r="F100" i="12"/>
  <c r="I100" i="12"/>
  <c r="M100" i="12"/>
  <c r="N100" i="12"/>
  <c r="Q81" i="12"/>
  <c r="D81" i="12"/>
  <c r="Z81" i="12"/>
  <c r="H81" i="12"/>
  <c r="J81" i="12"/>
  <c r="E81" i="12"/>
  <c r="G81" i="12"/>
  <c r="K81" i="12"/>
  <c r="L81" i="12"/>
  <c r="F81" i="12"/>
  <c r="I81" i="12"/>
  <c r="M81" i="12"/>
  <c r="N81" i="12"/>
  <c r="Q52" i="12"/>
  <c r="D52" i="12"/>
  <c r="Z52" i="12"/>
  <c r="E52" i="12"/>
  <c r="G52" i="12"/>
  <c r="H52" i="12"/>
  <c r="K52" i="12"/>
  <c r="L52" i="12"/>
  <c r="F52" i="12"/>
  <c r="I52" i="12"/>
  <c r="J52" i="12"/>
  <c r="M52" i="12"/>
  <c r="N52" i="12"/>
  <c r="Q106" i="12"/>
  <c r="D106" i="12"/>
  <c r="Z106" i="12"/>
  <c r="H106" i="12"/>
  <c r="J106" i="12"/>
  <c r="E106" i="12"/>
  <c r="G106" i="12"/>
  <c r="K106" i="12"/>
  <c r="L106" i="12"/>
  <c r="F106" i="12"/>
  <c r="I106" i="12"/>
  <c r="M106" i="12"/>
  <c r="N106" i="12"/>
  <c r="Q12" i="12"/>
  <c r="D12" i="12"/>
  <c r="Z12" i="12"/>
  <c r="E12" i="12"/>
  <c r="G12" i="12"/>
  <c r="H12" i="12"/>
  <c r="K12" i="12"/>
  <c r="L12" i="12"/>
  <c r="F12" i="12"/>
  <c r="I12" i="12"/>
  <c r="J12" i="12"/>
  <c r="M12" i="12"/>
  <c r="N12" i="12"/>
  <c r="Q63" i="12"/>
  <c r="D63" i="12"/>
  <c r="Z63" i="12"/>
  <c r="E63" i="12"/>
  <c r="G63" i="12"/>
  <c r="H63" i="12"/>
  <c r="K63" i="12"/>
  <c r="L63" i="12"/>
  <c r="F63" i="12"/>
  <c r="I63" i="12"/>
  <c r="J63" i="12"/>
  <c r="M63" i="12"/>
  <c r="N63" i="12"/>
  <c r="Q70" i="12"/>
  <c r="D70" i="12"/>
  <c r="Z70" i="12"/>
  <c r="E70" i="12"/>
  <c r="G70" i="12"/>
  <c r="H70" i="12"/>
  <c r="K70" i="12"/>
  <c r="L70" i="12"/>
  <c r="F70" i="12"/>
  <c r="I70" i="12"/>
  <c r="J70" i="12"/>
  <c r="M70" i="12"/>
  <c r="N70" i="12"/>
  <c r="Q44" i="12"/>
  <c r="D44" i="12"/>
  <c r="Z44" i="12"/>
  <c r="E44" i="12"/>
  <c r="G44" i="12"/>
  <c r="H44" i="12"/>
  <c r="K44" i="12"/>
  <c r="L44" i="12"/>
  <c r="F44" i="12"/>
  <c r="I44" i="12"/>
  <c r="J44" i="12"/>
  <c r="M44" i="12"/>
  <c r="N44" i="12"/>
  <c r="Q122" i="12"/>
  <c r="D122" i="12"/>
  <c r="Z122" i="12"/>
  <c r="E122" i="12"/>
  <c r="G122" i="12"/>
  <c r="H122" i="12"/>
  <c r="K122" i="12"/>
  <c r="L122" i="12"/>
  <c r="F122" i="12"/>
  <c r="I122" i="12"/>
  <c r="J122" i="12"/>
  <c r="M122" i="12"/>
  <c r="N122" i="12"/>
  <c r="Q108" i="12"/>
  <c r="D108" i="12"/>
  <c r="Z108" i="12"/>
  <c r="E108" i="12"/>
  <c r="G108" i="12"/>
  <c r="H108" i="12"/>
  <c r="K108" i="12"/>
  <c r="L108" i="12"/>
  <c r="F108" i="12"/>
  <c r="I108" i="12"/>
  <c r="J108" i="12"/>
  <c r="M108" i="12"/>
  <c r="N108" i="12"/>
  <c r="Q133" i="12"/>
  <c r="D133" i="12"/>
  <c r="Z133" i="12"/>
  <c r="E133" i="12"/>
  <c r="G133" i="12"/>
  <c r="H133" i="12"/>
  <c r="K133" i="12"/>
  <c r="L133" i="12"/>
  <c r="F133" i="12"/>
  <c r="I133" i="12"/>
  <c r="J133" i="12"/>
  <c r="M133" i="12"/>
  <c r="N133" i="12"/>
  <c r="Q92" i="12"/>
  <c r="D92" i="12"/>
  <c r="Z92" i="12"/>
  <c r="E92" i="12"/>
  <c r="G92" i="12"/>
  <c r="H92" i="12"/>
  <c r="K92" i="12"/>
  <c r="L92" i="12"/>
  <c r="F92" i="12"/>
  <c r="I92" i="12"/>
  <c r="J92" i="12"/>
  <c r="M92" i="12"/>
  <c r="N92" i="12"/>
  <c r="Q37" i="12"/>
  <c r="D37" i="12"/>
  <c r="Z37" i="12"/>
  <c r="E37" i="12"/>
  <c r="G37" i="12"/>
  <c r="H37" i="12"/>
  <c r="K37" i="12"/>
  <c r="L37" i="12"/>
  <c r="F37" i="12"/>
  <c r="I37" i="12"/>
  <c r="J37" i="12"/>
  <c r="M37" i="12"/>
  <c r="N37" i="12"/>
  <c r="Q117" i="12"/>
  <c r="D117" i="12"/>
  <c r="Z117" i="12"/>
  <c r="E117" i="12"/>
  <c r="G117" i="12"/>
  <c r="H117" i="12"/>
  <c r="K117" i="12"/>
  <c r="L117" i="12"/>
  <c r="F117" i="12"/>
  <c r="I117" i="12"/>
  <c r="J117" i="12"/>
  <c r="M117" i="12"/>
  <c r="N117" i="12"/>
  <c r="Q23" i="12"/>
  <c r="D23" i="12"/>
  <c r="Z23" i="12"/>
  <c r="E23" i="12"/>
  <c r="G23" i="12"/>
  <c r="H23" i="12"/>
  <c r="K23" i="12"/>
  <c r="L23" i="12"/>
  <c r="F23" i="12"/>
  <c r="I23" i="12"/>
  <c r="J23" i="12"/>
  <c r="M23" i="12"/>
  <c r="N23" i="12"/>
  <c r="Q16" i="12"/>
  <c r="D16" i="12"/>
  <c r="Z16" i="12"/>
  <c r="E16" i="12"/>
  <c r="G16" i="12"/>
  <c r="H16" i="12"/>
  <c r="K16" i="12"/>
  <c r="L16" i="12"/>
  <c r="F16" i="12"/>
  <c r="I16" i="12"/>
  <c r="J16" i="12"/>
  <c r="M16" i="12"/>
  <c r="N16" i="12"/>
  <c r="Q147" i="12"/>
  <c r="D147" i="12"/>
  <c r="Z147" i="12"/>
  <c r="E147" i="12"/>
  <c r="G147" i="12"/>
  <c r="H147" i="12"/>
  <c r="K147" i="12"/>
  <c r="L147" i="12"/>
  <c r="F147" i="12"/>
  <c r="I147" i="12"/>
  <c r="J147" i="12"/>
  <c r="M147" i="12"/>
  <c r="N147" i="12"/>
  <c r="Q51" i="12"/>
  <c r="D51" i="12"/>
  <c r="Z51" i="12"/>
  <c r="E51" i="12"/>
  <c r="G51" i="12"/>
  <c r="H51" i="12"/>
  <c r="K51" i="12"/>
  <c r="L51" i="12"/>
  <c r="F51" i="12"/>
  <c r="I51" i="12"/>
  <c r="J51" i="12"/>
  <c r="M51" i="12"/>
  <c r="N51" i="12"/>
  <c r="Q134" i="12"/>
  <c r="D134" i="12"/>
  <c r="Z134" i="12"/>
  <c r="E134" i="12"/>
  <c r="G134" i="12"/>
  <c r="H134" i="12"/>
  <c r="K134" i="12"/>
  <c r="L134" i="12"/>
  <c r="F134" i="12"/>
  <c r="I134" i="12"/>
  <c r="J134" i="12"/>
  <c r="M134" i="12"/>
  <c r="N134" i="12"/>
  <c r="Q31" i="12"/>
  <c r="D31" i="12"/>
  <c r="Z31" i="12"/>
  <c r="E31" i="12"/>
  <c r="G31" i="12"/>
  <c r="H31" i="12"/>
  <c r="K31" i="12"/>
  <c r="L31" i="12"/>
  <c r="F31" i="12"/>
  <c r="I31" i="12"/>
  <c r="J31" i="12"/>
  <c r="M31" i="12"/>
  <c r="N31" i="12"/>
  <c r="Q141" i="12"/>
  <c r="D141" i="12"/>
  <c r="Z141" i="12"/>
  <c r="E141" i="12"/>
  <c r="G141" i="12"/>
  <c r="H141" i="12"/>
  <c r="K141" i="12"/>
  <c r="L141" i="12"/>
  <c r="F141" i="12"/>
  <c r="I141" i="12"/>
  <c r="J141" i="12"/>
  <c r="M141" i="12"/>
  <c r="N141" i="12"/>
  <c r="Q55" i="12"/>
  <c r="D55" i="12"/>
  <c r="Z55" i="12"/>
  <c r="E55" i="12"/>
  <c r="G55" i="12"/>
  <c r="H55" i="12"/>
  <c r="K55" i="12"/>
  <c r="L55" i="12"/>
  <c r="F55" i="12"/>
  <c r="I55" i="12"/>
  <c r="J55" i="12"/>
  <c r="M55" i="12"/>
  <c r="N55" i="12"/>
  <c r="Q49" i="12"/>
  <c r="D49" i="12"/>
  <c r="Z49" i="12"/>
  <c r="E49" i="12"/>
  <c r="G49" i="12"/>
  <c r="H49" i="12"/>
  <c r="K49" i="12"/>
  <c r="L49" i="12"/>
  <c r="F49" i="12"/>
  <c r="I49" i="12"/>
  <c r="J49" i="12"/>
  <c r="M49" i="12"/>
  <c r="N49" i="12"/>
  <c r="Q84" i="12"/>
  <c r="D84" i="12"/>
  <c r="Z84" i="12"/>
  <c r="E84" i="12"/>
  <c r="G84" i="12"/>
  <c r="H84" i="12"/>
  <c r="K84" i="12"/>
  <c r="L84" i="12"/>
  <c r="F84" i="12"/>
  <c r="I84" i="12"/>
  <c r="J84" i="12"/>
  <c r="M84" i="12"/>
  <c r="N84" i="12"/>
  <c r="Q78" i="12"/>
  <c r="D78" i="12"/>
  <c r="Z78" i="12"/>
  <c r="E78" i="12"/>
  <c r="G78" i="12"/>
  <c r="H78" i="12"/>
  <c r="K78" i="12"/>
  <c r="L78" i="12"/>
  <c r="F78" i="12"/>
  <c r="I78" i="12"/>
  <c r="J78" i="12"/>
  <c r="M78" i="12"/>
  <c r="N78" i="12"/>
  <c r="Q60" i="12"/>
  <c r="D60" i="12"/>
  <c r="Z60" i="12"/>
  <c r="E60" i="12"/>
  <c r="G60" i="12"/>
  <c r="H60" i="12"/>
  <c r="K60" i="12"/>
  <c r="L60" i="12"/>
  <c r="F60" i="12"/>
  <c r="I60" i="12"/>
  <c r="J60" i="12"/>
  <c r="M60" i="12"/>
  <c r="N60" i="12"/>
  <c r="Q75" i="12"/>
  <c r="D75" i="12"/>
  <c r="Z75" i="12"/>
  <c r="E75" i="12"/>
  <c r="G75" i="12"/>
  <c r="H75" i="12"/>
  <c r="K75" i="12"/>
  <c r="L75" i="12"/>
  <c r="F75" i="12"/>
  <c r="I75" i="12"/>
  <c r="J75" i="12"/>
  <c r="M75" i="12"/>
  <c r="N75" i="12"/>
  <c r="Q149" i="12"/>
  <c r="D149" i="12"/>
  <c r="Z149" i="12"/>
  <c r="E149" i="12"/>
  <c r="G149" i="12"/>
  <c r="H149" i="12"/>
  <c r="K149" i="12"/>
  <c r="L149" i="12"/>
  <c r="F149" i="12"/>
  <c r="I149" i="12"/>
  <c r="J149" i="12"/>
  <c r="M149" i="12"/>
  <c r="N149" i="12"/>
  <c r="Q91" i="12"/>
  <c r="D91" i="12"/>
  <c r="Z91" i="12"/>
  <c r="E91" i="12"/>
  <c r="G91" i="12"/>
  <c r="H91" i="12"/>
  <c r="K91" i="12"/>
  <c r="L91" i="12"/>
  <c r="F91" i="12"/>
  <c r="I91" i="12"/>
  <c r="J91" i="12"/>
  <c r="M91" i="12"/>
  <c r="N91" i="12"/>
  <c r="Q131" i="12"/>
  <c r="D131" i="12"/>
  <c r="Z131" i="12"/>
  <c r="E131" i="12"/>
  <c r="G131" i="12"/>
  <c r="H131" i="12"/>
  <c r="K131" i="12"/>
  <c r="L131" i="12"/>
  <c r="F131" i="12"/>
  <c r="I131" i="12"/>
  <c r="J131" i="12"/>
  <c r="M131" i="12"/>
  <c r="N131" i="12"/>
  <c r="Q13" i="12"/>
  <c r="D13" i="12"/>
  <c r="Z13" i="12"/>
  <c r="E13" i="12"/>
  <c r="G13" i="12"/>
  <c r="H13" i="12"/>
  <c r="K13" i="12"/>
  <c r="L13" i="12"/>
  <c r="F13" i="12"/>
  <c r="I13" i="12"/>
  <c r="J13" i="12"/>
  <c r="M13" i="12"/>
  <c r="N13" i="12"/>
  <c r="Q4" i="12"/>
  <c r="D4" i="12"/>
  <c r="Z4" i="12"/>
  <c r="E4" i="12"/>
  <c r="G4" i="12"/>
  <c r="H4" i="12"/>
  <c r="K4" i="12"/>
  <c r="L4" i="12"/>
  <c r="F4" i="12"/>
  <c r="I4" i="12"/>
  <c r="J4" i="12"/>
  <c r="M4" i="12"/>
  <c r="N4" i="12"/>
  <c r="Q3" i="12"/>
  <c r="D3" i="12"/>
  <c r="Z3" i="12"/>
  <c r="E3" i="12"/>
  <c r="G3" i="12"/>
  <c r="H3" i="12"/>
  <c r="K3" i="12"/>
  <c r="L3" i="12"/>
  <c r="F3" i="12"/>
  <c r="I3" i="12"/>
  <c r="J3" i="12"/>
  <c r="M3" i="12"/>
  <c r="N3" i="12"/>
  <c r="Q129" i="12"/>
  <c r="D129" i="12"/>
  <c r="Z129" i="12"/>
  <c r="E129" i="12"/>
  <c r="G129" i="12"/>
  <c r="H129" i="12"/>
  <c r="K129" i="12"/>
  <c r="L129" i="12"/>
  <c r="F129" i="12"/>
  <c r="I129" i="12"/>
  <c r="J129" i="12"/>
  <c r="M129" i="12"/>
  <c r="N129" i="12"/>
  <c r="Q40" i="12"/>
  <c r="D40" i="12"/>
  <c r="Z40" i="12"/>
  <c r="E40" i="12"/>
  <c r="G40" i="12"/>
  <c r="H40" i="12"/>
  <c r="K40" i="12"/>
  <c r="L40" i="12"/>
  <c r="F40" i="12"/>
  <c r="I40" i="12"/>
  <c r="J40" i="12"/>
  <c r="M40" i="12"/>
  <c r="N40" i="12"/>
  <c r="Q127" i="12"/>
  <c r="D127" i="12"/>
  <c r="Z127" i="12"/>
  <c r="E127" i="12"/>
  <c r="G127" i="12"/>
  <c r="H127" i="12"/>
  <c r="K127" i="12"/>
  <c r="L127" i="12"/>
  <c r="F127" i="12"/>
  <c r="I127" i="12"/>
  <c r="J127" i="12"/>
  <c r="M127" i="12"/>
  <c r="N127" i="12"/>
  <c r="Q62" i="12"/>
  <c r="D62" i="12"/>
  <c r="Z62" i="12"/>
  <c r="E62" i="12"/>
  <c r="G62" i="12"/>
  <c r="H62" i="12"/>
  <c r="K62" i="12"/>
  <c r="L62" i="12"/>
  <c r="F62" i="12"/>
  <c r="I62" i="12"/>
  <c r="J62" i="12"/>
  <c r="M62" i="12"/>
  <c r="N62" i="12"/>
  <c r="Q124" i="12"/>
  <c r="D124" i="12"/>
  <c r="Z124" i="12"/>
  <c r="E124" i="12"/>
  <c r="G124" i="12"/>
  <c r="H124" i="12"/>
  <c r="K124" i="12"/>
  <c r="L124" i="12"/>
  <c r="F124" i="12"/>
  <c r="I124" i="12"/>
  <c r="J124" i="12"/>
  <c r="M124" i="12"/>
  <c r="N124" i="12"/>
  <c r="Q99" i="12"/>
  <c r="D99" i="12"/>
  <c r="Z99" i="12"/>
  <c r="E99" i="12"/>
  <c r="G99" i="12"/>
  <c r="H99" i="12"/>
  <c r="K99" i="12"/>
  <c r="L99" i="12"/>
  <c r="F99" i="12"/>
  <c r="I99" i="12"/>
  <c r="J99" i="12"/>
  <c r="M99" i="12"/>
  <c r="N99" i="12"/>
  <c r="Q35" i="12"/>
  <c r="D35" i="12"/>
  <c r="Z35" i="12"/>
  <c r="E35" i="12"/>
  <c r="G35" i="12"/>
  <c r="H35" i="12"/>
  <c r="K35" i="12"/>
  <c r="L35" i="12"/>
  <c r="F35" i="12"/>
  <c r="I35" i="12"/>
  <c r="J35" i="12"/>
  <c r="M35" i="12"/>
  <c r="N35" i="12"/>
  <c r="Q89" i="12"/>
  <c r="D89" i="12"/>
  <c r="Z89" i="12"/>
  <c r="E89" i="12"/>
  <c r="G89" i="12"/>
  <c r="H89" i="12"/>
  <c r="K89" i="12"/>
  <c r="L89" i="12"/>
  <c r="F89" i="12"/>
  <c r="I89" i="12"/>
  <c r="J89" i="12"/>
  <c r="M89" i="12"/>
  <c r="N89" i="12"/>
  <c r="Q136" i="12"/>
  <c r="D136" i="12"/>
  <c r="Z136" i="12"/>
  <c r="E136" i="12"/>
  <c r="G136" i="12"/>
  <c r="H136" i="12"/>
  <c r="K136" i="12"/>
  <c r="L136" i="12"/>
  <c r="F136" i="12"/>
  <c r="I136" i="12"/>
  <c r="J136" i="12"/>
  <c r="M136" i="12"/>
  <c r="N136" i="12"/>
  <c r="Q102" i="12"/>
  <c r="D102" i="12"/>
  <c r="Z102" i="12"/>
  <c r="E102" i="12"/>
  <c r="G102" i="12"/>
  <c r="H102" i="12"/>
  <c r="K102" i="12"/>
  <c r="L102" i="12"/>
  <c r="F102" i="12"/>
  <c r="I102" i="12"/>
  <c r="J102" i="12"/>
  <c r="M102" i="12"/>
  <c r="N102" i="12"/>
  <c r="Q144" i="12"/>
  <c r="D144" i="12"/>
  <c r="Z144" i="12"/>
  <c r="E144" i="12"/>
  <c r="G144" i="12"/>
  <c r="H144" i="12"/>
  <c r="K144" i="12"/>
  <c r="L144" i="12"/>
  <c r="F144" i="12"/>
  <c r="I144" i="12"/>
  <c r="J144" i="12"/>
  <c r="M144" i="12"/>
  <c r="N144" i="12"/>
  <c r="Q113" i="12"/>
  <c r="D113" i="12"/>
  <c r="Z113" i="12"/>
  <c r="E113" i="12"/>
  <c r="G113" i="12"/>
  <c r="H113" i="12"/>
  <c r="K113" i="12"/>
  <c r="L113" i="12"/>
  <c r="F113" i="12"/>
  <c r="I113" i="12"/>
  <c r="J113" i="12"/>
  <c r="M113" i="12"/>
  <c r="N113" i="12"/>
  <c r="Q33" i="12"/>
  <c r="D33" i="12"/>
  <c r="Z33" i="12"/>
  <c r="E33" i="12"/>
  <c r="G33" i="12"/>
  <c r="H33" i="12"/>
  <c r="K33" i="12"/>
  <c r="L33" i="12"/>
  <c r="F33" i="12"/>
  <c r="I33" i="12"/>
  <c r="J33" i="12"/>
  <c r="M33" i="12"/>
  <c r="N33" i="12"/>
  <c r="Q104" i="12"/>
  <c r="D104" i="12"/>
  <c r="Z104" i="12"/>
  <c r="E104" i="12"/>
  <c r="G104" i="12"/>
  <c r="H104" i="12"/>
  <c r="K104" i="12"/>
  <c r="L104" i="12"/>
  <c r="F104" i="12"/>
  <c r="I104" i="12"/>
  <c r="J104" i="12"/>
  <c r="M104" i="12"/>
  <c r="N104" i="12"/>
  <c r="Q107" i="12"/>
  <c r="D107" i="12"/>
  <c r="Z107" i="12"/>
  <c r="E107" i="12"/>
  <c r="G107" i="12"/>
  <c r="H107" i="12"/>
  <c r="K107" i="12"/>
  <c r="L107" i="12"/>
  <c r="F107" i="12"/>
  <c r="I107" i="12"/>
  <c r="J107" i="12"/>
  <c r="M107" i="12"/>
  <c r="N107" i="12"/>
  <c r="Q14" i="12"/>
  <c r="D14" i="12"/>
  <c r="Z14" i="12"/>
  <c r="E14" i="12"/>
  <c r="G14" i="12"/>
  <c r="H14" i="12"/>
  <c r="K14" i="12"/>
  <c r="L14" i="12"/>
  <c r="F14" i="12"/>
  <c r="I14" i="12"/>
  <c r="J14" i="12"/>
  <c r="M14" i="12"/>
  <c r="N14" i="12"/>
  <c r="Q83" i="12"/>
  <c r="D83" i="12"/>
  <c r="Z83" i="12"/>
  <c r="E83" i="12"/>
  <c r="G83" i="12"/>
  <c r="H83" i="12"/>
  <c r="K83" i="12"/>
  <c r="L83" i="12"/>
  <c r="F83" i="12"/>
  <c r="I83" i="12"/>
  <c r="J83" i="12"/>
  <c r="M83" i="12"/>
  <c r="N83" i="12"/>
  <c r="Q72" i="12"/>
  <c r="D72" i="12"/>
  <c r="Z72" i="12"/>
  <c r="E72" i="12"/>
  <c r="G72" i="12"/>
  <c r="H72" i="12"/>
  <c r="K72" i="12"/>
  <c r="L72" i="12"/>
  <c r="F72" i="12"/>
  <c r="I72" i="12"/>
  <c r="J72" i="12"/>
  <c r="M72" i="12"/>
  <c r="N72" i="12"/>
  <c r="Q119" i="12"/>
  <c r="D119" i="12"/>
  <c r="Z119" i="12"/>
  <c r="E119" i="12"/>
  <c r="G119" i="12"/>
  <c r="H119" i="12"/>
  <c r="K119" i="12"/>
  <c r="L119" i="12"/>
  <c r="F119" i="12"/>
  <c r="I119" i="12"/>
  <c r="J119" i="12"/>
  <c r="M119" i="12"/>
  <c r="N119" i="12"/>
  <c r="Q97" i="12"/>
  <c r="D97" i="12"/>
  <c r="Z97" i="12"/>
  <c r="E97" i="12"/>
  <c r="G97" i="12"/>
  <c r="H97" i="12"/>
  <c r="K97" i="12"/>
  <c r="L97" i="12"/>
  <c r="F97" i="12"/>
  <c r="I97" i="12"/>
  <c r="J97" i="12"/>
  <c r="M97" i="12"/>
  <c r="N97" i="12"/>
  <c r="Q115" i="12"/>
  <c r="D115" i="12"/>
  <c r="Z115" i="12"/>
  <c r="E115" i="12"/>
  <c r="G115" i="12"/>
  <c r="H115" i="12"/>
  <c r="K115" i="12"/>
  <c r="L115" i="12"/>
  <c r="F115" i="12"/>
  <c r="I115" i="12"/>
  <c r="J115" i="12"/>
  <c r="M115" i="12"/>
  <c r="N115" i="12"/>
  <c r="Q6" i="12"/>
  <c r="D6" i="12"/>
  <c r="Z6" i="12"/>
  <c r="E6" i="12"/>
  <c r="G6" i="12"/>
  <c r="H6" i="12"/>
  <c r="K6" i="12"/>
  <c r="L6" i="12"/>
  <c r="F6" i="12"/>
  <c r="I6" i="12"/>
  <c r="J6" i="12"/>
  <c r="M6" i="12"/>
  <c r="N6" i="12"/>
  <c r="Q67" i="12"/>
  <c r="D67" i="12"/>
  <c r="Z67" i="12"/>
  <c r="E67" i="12"/>
  <c r="G67" i="12"/>
  <c r="H67" i="12"/>
  <c r="K67" i="12"/>
  <c r="L67" i="12"/>
  <c r="F67" i="12"/>
  <c r="I67" i="12"/>
  <c r="J67" i="12"/>
  <c r="M67" i="12"/>
  <c r="N67" i="12"/>
  <c r="Q95" i="12"/>
  <c r="D95" i="12"/>
  <c r="Z95" i="12"/>
  <c r="E95" i="12"/>
  <c r="G95" i="12"/>
  <c r="H95" i="12"/>
  <c r="K95" i="12"/>
  <c r="L95" i="12"/>
  <c r="F95" i="12"/>
  <c r="I95" i="12"/>
  <c r="J95" i="12"/>
  <c r="M95" i="12"/>
  <c r="N95" i="12"/>
  <c r="Q24" i="12"/>
  <c r="D24" i="12"/>
  <c r="Z24" i="12"/>
  <c r="E24" i="12"/>
  <c r="G24" i="12"/>
  <c r="H24" i="12"/>
  <c r="K24" i="12"/>
  <c r="L24" i="12"/>
  <c r="F24" i="12"/>
  <c r="I24" i="12"/>
  <c r="J24" i="12"/>
  <c r="M24" i="12"/>
  <c r="N24" i="12"/>
  <c r="Q79" i="12"/>
  <c r="D79" i="12"/>
  <c r="Z79" i="12"/>
  <c r="E79" i="12"/>
  <c r="G79" i="12"/>
  <c r="H79" i="12"/>
  <c r="K79" i="12"/>
  <c r="L79" i="12"/>
  <c r="F79" i="12"/>
  <c r="I79" i="12"/>
  <c r="J79" i="12"/>
  <c r="M79" i="12"/>
  <c r="N79" i="12"/>
  <c r="Q69" i="12"/>
  <c r="D69" i="12"/>
  <c r="Z69" i="12"/>
  <c r="E69" i="12"/>
  <c r="G69" i="12"/>
  <c r="H69" i="12"/>
  <c r="K69" i="12"/>
  <c r="L69" i="12"/>
  <c r="F69" i="12"/>
  <c r="I69" i="12"/>
  <c r="J69" i="12"/>
  <c r="M69" i="12"/>
  <c r="N69" i="12"/>
  <c r="Q48" i="12"/>
  <c r="D48" i="12"/>
  <c r="Z48" i="12"/>
  <c r="E48" i="12"/>
  <c r="G48" i="12"/>
  <c r="H48" i="12"/>
  <c r="K48" i="12"/>
  <c r="L48" i="12"/>
  <c r="F48" i="12"/>
  <c r="I48" i="12"/>
  <c r="J48" i="12"/>
  <c r="M48" i="12"/>
  <c r="N48" i="12"/>
  <c r="Q140" i="12"/>
  <c r="D140" i="12"/>
  <c r="Z140" i="12"/>
  <c r="E140" i="12"/>
  <c r="G140" i="12"/>
  <c r="H140" i="12"/>
  <c r="K140" i="12"/>
  <c r="L140" i="12"/>
  <c r="F140" i="12"/>
  <c r="I140" i="12"/>
  <c r="J140" i="12"/>
  <c r="M140" i="12"/>
  <c r="N140" i="12"/>
  <c r="Q22" i="12"/>
  <c r="D22" i="12"/>
  <c r="Z22" i="12"/>
  <c r="E22" i="12"/>
  <c r="G22" i="12"/>
  <c r="H22" i="12"/>
  <c r="K22" i="12"/>
  <c r="L22" i="12"/>
  <c r="F22" i="12"/>
  <c r="I22" i="12"/>
  <c r="J22" i="12"/>
  <c r="M22" i="12"/>
  <c r="N22" i="12"/>
  <c r="Q148" i="12"/>
  <c r="D148" i="12"/>
  <c r="Z148" i="12"/>
  <c r="E148" i="12"/>
  <c r="G148" i="12"/>
  <c r="H148" i="12"/>
  <c r="K148" i="12"/>
  <c r="L148" i="12"/>
  <c r="F148" i="12"/>
  <c r="I148" i="12"/>
  <c r="J148" i="12"/>
  <c r="M148" i="12"/>
  <c r="N148" i="12"/>
  <c r="Q135" i="12"/>
  <c r="D135" i="12"/>
  <c r="Z135" i="12"/>
  <c r="E135" i="12"/>
  <c r="G135" i="12"/>
  <c r="H135" i="12"/>
  <c r="K135" i="12"/>
  <c r="L135" i="12"/>
  <c r="F135" i="12"/>
  <c r="I135" i="12"/>
  <c r="J135" i="12"/>
  <c r="M135" i="12"/>
  <c r="N135" i="12"/>
  <c r="Q57" i="12"/>
  <c r="D57" i="12"/>
  <c r="Z57" i="12"/>
  <c r="E57" i="12"/>
  <c r="G57" i="12"/>
  <c r="H57" i="12"/>
  <c r="K57" i="12"/>
  <c r="L57" i="12"/>
  <c r="F57" i="12"/>
  <c r="I57" i="12"/>
  <c r="J57" i="12"/>
  <c r="M57" i="12"/>
  <c r="N57" i="12"/>
  <c r="Q56" i="12"/>
  <c r="D56" i="12"/>
  <c r="Z56" i="12"/>
  <c r="E56" i="12"/>
  <c r="G56" i="12"/>
  <c r="H56" i="12"/>
  <c r="K56" i="12"/>
  <c r="L56" i="12"/>
  <c r="F56" i="12"/>
  <c r="I56" i="12"/>
  <c r="J56" i="12"/>
  <c r="M56" i="12"/>
  <c r="N56" i="12"/>
  <c r="Q15" i="12"/>
  <c r="D15" i="12"/>
  <c r="Z15" i="12"/>
  <c r="E15" i="12"/>
  <c r="G15" i="12"/>
  <c r="H15" i="12"/>
  <c r="K15" i="12"/>
  <c r="L15" i="12"/>
  <c r="F15" i="12"/>
  <c r="I15" i="12"/>
  <c r="J15" i="12"/>
  <c r="M15" i="12"/>
  <c r="N15" i="12"/>
  <c r="Q61" i="12"/>
  <c r="D61" i="12"/>
  <c r="Z61" i="12"/>
  <c r="E61" i="12"/>
  <c r="G61" i="12"/>
  <c r="H61" i="12"/>
  <c r="K61" i="12"/>
  <c r="L61" i="12"/>
  <c r="F61" i="12"/>
  <c r="I61" i="12"/>
  <c r="J61" i="12"/>
  <c r="M61" i="12"/>
  <c r="N61" i="12"/>
  <c r="Q142" i="12"/>
  <c r="D142" i="12"/>
  <c r="Z142" i="12"/>
  <c r="E142" i="12"/>
  <c r="G142" i="12"/>
  <c r="H142" i="12"/>
  <c r="K142" i="12"/>
  <c r="L142" i="12"/>
  <c r="F142" i="12"/>
  <c r="I142" i="12"/>
  <c r="J142" i="12"/>
  <c r="M142" i="12"/>
  <c r="N142" i="12"/>
  <c r="Q43" i="12"/>
  <c r="D43" i="12"/>
  <c r="Z43" i="12"/>
  <c r="E43" i="12"/>
  <c r="G43" i="12"/>
  <c r="H43" i="12"/>
  <c r="K43" i="12"/>
  <c r="L43" i="12"/>
  <c r="F43" i="12"/>
  <c r="I43" i="12"/>
  <c r="J43" i="12"/>
  <c r="M43" i="12"/>
  <c r="N43" i="12"/>
  <c r="Q46" i="12"/>
  <c r="D46" i="12"/>
  <c r="Z46" i="12"/>
  <c r="E46" i="12"/>
  <c r="G46" i="12"/>
  <c r="H46" i="12"/>
  <c r="K46" i="12"/>
  <c r="L46" i="12"/>
  <c r="F46" i="12"/>
  <c r="I46" i="12"/>
  <c r="J46" i="12"/>
  <c r="M46" i="12"/>
  <c r="N46" i="12"/>
  <c r="Q36" i="12"/>
  <c r="D36" i="12"/>
  <c r="Z36" i="12"/>
  <c r="E36" i="12"/>
  <c r="G36" i="12"/>
  <c r="H36" i="12"/>
  <c r="K36" i="12"/>
  <c r="L36" i="12"/>
  <c r="F36" i="12"/>
  <c r="I36" i="12"/>
  <c r="J36" i="12"/>
  <c r="M36" i="12"/>
  <c r="N36" i="12"/>
  <c r="Q5" i="12"/>
  <c r="D5" i="12"/>
  <c r="Z5" i="12"/>
  <c r="E5" i="12"/>
  <c r="G5" i="12"/>
  <c r="H5" i="12"/>
  <c r="K5" i="12"/>
  <c r="L5" i="12"/>
  <c r="F5" i="12"/>
  <c r="I5" i="12"/>
  <c r="J5" i="12"/>
  <c r="M5" i="12"/>
  <c r="N5" i="12"/>
  <c r="Q20" i="12"/>
  <c r="D20" i="12"/>
  <c r="Z20" i="12"/>
  <c r="E20" i="12"/>
  <c r="G20" i="12"/>
  <c r="H20" i="12"/>
  <c r="K20" i="12"/>
  <c r="L20" i="12"/>
  <c r="F20" i="12"/>
  <c r="I20" i="12"/>
  <c r="J20" i="12"/>
  <c r="M20" i="12"/>
  <c r="N20" i="12"/>
  <c r="Q150" i="12"/>
  <c r="D150" i="12"/>
  <c r="Z150" i="12"/>
  <c r="E150" i="12"/>
  <c r="G150" i="12"/>
  <c r="H150" i="12"/>
  <c r="K150" i="12"/>
  <c r="L150" i="12"/>
  <c r="F150" i="12"/>
  <c r="I150" i="12"/>
  <c r="J150" i="12"/>
  <c r="M150" i="12"/>
  <c r="N150" i="12"/>
  <c r="Q139" i="12"/>
  <c r="D139" i="12"/>
  <c r="Z139" i="12"/>
  <c r="E139" i="12"/>
  <c r="G139" i="12"/>
  <c r="H139" i="12"/>
  <c r="K139" i="12"/>
  <c r="L139" i="12"/>
  <c r="F139" i="12"/>
  <c r="I139" i="12"/>
  <c r="J139" i="12"/>
  <c r="M139" i="12"/>
  <c r="N139" i="12"/>
  <c r="Q96" i="12"/>
  <c r="D96" i="12"/>
  <c r="Z96" i="12"/>
  <c r="E96" i="12"/>
  <c r="G96" i="12"/>
  <c r="H96" i="12"/>
  <c r="K96" i="12"/>
  <c r="L96" i="12"/>
  <c r="F96" i="12"/>
  <c r="I96" i="12"/>
  <c r="J96" i="12"/>
  <c r="M96" i="12"/>
  <c r="N96" i="12"/>
  <c r="Q65" i="12"/>
  <c r="D65" i="12"/>
  <c r="Z65" i="12"/>
  <c r="E65" i="12"/>
  <c r="G65" i="12"/>
  <c r="H65" i="12"/>
  <c r="K65" i="12"/>
  <c r="L65" i="12"/>
  <c r="F65" i="12"/>
  <c r="I65" i="12"/>
  <c r="J65" i="12"/>
  <c r="M65" i="12"/>
  <c r="N65" i="12"/>
  <c r="Q98" i="12"/>
  <c r="D98" i="12"/>
  <c r="Z98" i="12"/>
  <c r="E98" i="12"/>
  <c r="G98" i="12"/>
  <c r="H98" i="12"/>
  <c r="K98" i="12"/>
  <c r="L98" i="12"/>
  <c r="F98" i="12"/>
  <c r="I98" i="12"/>
  <c r="J98" i="12"/>
  <c r="M98" i="12"/>
  <c r="N98" i="12"/>
  <c r="Q11" i="12"/>
  <c r="D11" i="12"/>
  <c r="Z11" i="12"/>
  <c r="E11" i="12"/>
  <c r="G11" i="12"/>
  <c r="H11" i="12"/>
  <c r="K11" i="12"/>
  <c r="L11" i="12"/>
  <c r="F11" i="12"/>
  <c r="I11" i="12"/>
  <c r="J11" i="12"/>
  <c r="M11" i="12"/>
  <c r="N11" i="12"/>
  <c r="Q103" i="12"/>
  <c r="D103" i="12"/>
  <c r="Z103" i="12"/>
  <c r="E103" i="12"/>
  <c r="G103" i="12"/>
  <c r="H103" i="12"/>
  <c r="K103" i="12"/>
  <c r="L103" i="12"/>
  <c r="F103" i="12"/>
  <c r="I103" i="12"/>
  <c r="J103" i="12"/>
  <c r="M103" i="12"/>
  <c r="N103" i="12"/>
  <c r="Q146" i="12"/>
  <c r="D146" i="12"/>
  <c r="Z146" i="12"/>
  <c r="E146" i="12"/>
  <c r="G146" i="12"/>
  <c r="H146" i="12"/>
  <c r="K146" i="12"/>
  <c r="L146" i="12"/>
  <c r="F146" i="12"/>
  <c r="I146" i="12"/>
  <c r="J146" i="12"/>
  <c r="M146" i="12"/>
  <c r="N146" i="12"/>
  <c r="Q126" i="12"/>
  <c r="D126" i="12"/>
  <c r="Z126" i="12"/>
  <c r="E126" i="12"/>
  <c r="G126" i="12"/>
  <c r="H126" i="12"/>
  <c r="K126" i="12"/>
  <c r="L126" i="12"/>
  <c r="F126" i="12"/>
  <c r="I126" i="12"/>
  <c r="J126" i="12"/>
  <c r="M126" i="12"/>
  <c r="N126" i="12"/>
  <c r="Q54" i="12"/>
  <c r="D54" i="12"/>
  <c r="Z54" i="12"/>
  <c r="E54" i="12"/>
  <c r="G54" i="12"/>
  <c r="H54" i="12"/>
  <c r="K54" i="12"/>
  <c r="L54" i="12"/>
  <c r="F54" i="12"/>
  <c r="I54" i="12"/>
  <c r="J54" i="12"/>
  <c r="M54" i="12"/>
  <c r="N54" i="12"/>
  <c r="Q29" i="12"/>
  <c r="D29" i="12"/>
  <c r="Z29" i="12"/>
  <c r="E29" i="12"/>
  <c r="G29" i="12"/>
  <c r="H29" i="12"/>
  <c r="K29" i="12"/>
  <c r="L29" i="12"/>
  <c r="F29" i="12"/>
  <c r="I29" i="12"/>
  <c r="J29" i="12"/>
  <c r="M29" i="12"/>
  <c r="N29" i="12"/>
  <c r="Q114" i="12"/>
  <c r="D114" i="12"/>
  <c r="Z114" i="12"/>
  <c r="E114" i="12"/>
  <c r="G114" i="12"/>
  <c r="H114" i="12"/>
  <c r="K114" i="12"/>
  <c r="L114" i="12"/>
  <c r="F114" i="12"/>
  <c r="I114" i="12"/>
  <c r="J114" i="12"/>
  <c r="M114" i="12"/>
  <c r="N114" i="12"/>
  <c r="Q88" i="12"/>
  <c r="D88" i="12"/>
  <c r="Z88" i="12"/>
  <c r="E88" i="12"/>
  <c r="G88" i="12"/>
  <c r="H88" i="12"/>
  <c r="K88" i="12"/>
  <c r="L88" i="12"/>
  <c r="F88" i="12"/>
  <c r="I88" i="12"/>
  <c r="J88" i="12"/>
  <c r="M88" i="12"/>
  <c r="N88" i="12"/>
  <c r="Q137" i="12"/>
  <c r="D137" i="12"/>
  <c r="Z137" i="12"/>
  <c r="E137" i="12"/>
  <c r="G137" i="12"/>
  <c r="H137" i="12"/>
  <c r="K137" i="12"/>
  <c r="L137" i="12"/>
  <c r="F137" i="12"/>
  <c r="I137" i="12"/>
  <c r="J137" i="12"/>
  <c r="M137" i="12"/>
  <c r="N137" i="12"/>
  <c r="Q85" i="12"/>
  <c r="D85" i="12"/>
  <c r="Z85" i="12"/>
  <c r="E85" i="12"/>
  <c r="G85" i="12"/>
  <c r="H85" i="12"/>
  <c r="K85" i="12"/>
  <c r="L85" i="12"/>
  <c r="F85" i="12"/>
  <c r="I85" i="12"/>
  <c r="J85" i="12"/>
  <c r="M85" i="12"/>
  <c r="N85" i="12"/>
  <c r="Q143" i="12"/>
  <c r="D143" i="12"/>
  <c r="Z143" i="12"/>
  <c r="E143" i="12"/>
  <c r="G143" i="12"/>
  <c r="H143" i="12"/>
  <c r="K143" i="12"/>
  <c r="L143" i="12"/>
  <c r="F143" i="12"/>
  <c r="I143" i="12"/>
  <c r="J143" i="12"/>
  <c r="M143" i="12"/>
  <c r="N143" i="12"/>
  <c r="Q19" i="12"/>
  <c r="D19" i="12"/>
  <c r="Z19" i="12"/>
  <c r="E19" i="12"/>
  <c r="G19" i="12"/>
  <c r="H19" i="12"/>
  <c r="K19" i="12"/>
  <c r="L19" i="12"/>
  <c r="F19" i="12"/>
  <c r="I19" i="12"/>
  <c r="J19" i="12"/>
  <c r="M19" i="12"/>
  <c r="N19" i="12"/>
  <c r="Q25" i="12"/>
  <c r="D25" i="12"/>
  <c r="Z25" i="12"/>
  <c r="E25" i="12"/>
  <c r="G25" i="12"/>
  <c r="H25" i="12"/>
  <c r="K25" i="12"/>
  <c r="L25" i="12"/>
  <c r="F25" i="12"/>
  <c r="I25" i="12"/>
  <c r="J25" i="12"/>
  <c r="M25" i="12"/>
  <c r="N25" i="12"/>
  <c r="Q80" i="12"/>
  <c r="D80" i="12"/>
  <c r="Z80" i="12"/>
  <c r="E80" i="12"/>
  <c r="G80" i="12"/>
  <c r="H80" i="12"/>
  <c r="K80" i="12"/>
  <c r="L80" i="12"/>
  <c r="F80" i="12"/>
  <c r="I80" i="12"/>
  <c r="J80" i="12"/>
  <c r="M80" i="12"/>
  <c r="N80" i="12"/>
  <c r="Q39" i="12"/>
  <c r="D39" i="12"/>
  <c r="Z39" i="12"/>
  <c r="E39" i="12"/>
  <c r="G39" i="12"/>
  <c r="H39" i="12"/>
  <c r="K39" i="12"/>
  <c r="L39" i="12"/>
  <c r="F39" i="12"/>
  <c r="I39" i="12"/>
  <c r="J39" i="12"/>
  <c r="M39" i="12"/>
  <c r="N39" i="12"/>
  <c r="Q2" i="12"/>
  <c r="D2" i="12"/>
  <c r="Z2" i="12"/>
  <c r="E2" i="12"/>
  <c r="G2" i="12"/>
  <c r="H2" i="12"/>
  <c r="K2" i="12"/>
  <c r="L2" i="12"/>
  <c r="F2" i="12"/>
  <c r="I2" i="12"/>
  <c r="J2" i="12"/>
  <c r="M2" i="12"/>
  <c r="N2" i="12"/>
  <c r="Q77" i="12"/>
  <c r="D77" i="12"/>
  <c r="Z77" i="12"/>
  <c r="E77" i="12"/>
  <c r="G77" i="12"/>
  <c r="H77" i="12"/>
  <c r="K77" i="12"/>
  <c r="L77" i="12"/>
  <c r="F77" i="12"/>
  <c r="I77" i="12"/>
  <c r="J77" i="12"/>
  <c r="M77" i="12"/>
  <c r="N77" i="12"/>
  <c r="Q123" i="12"/>
  <c r="D123" i="12"/>
  <c r="Z123" i="12"/>
  <c r="E123" i="12"/>
  <c r="G123" i="12"/>
  <c r="H123" i="12"/>
  <c r="K123" i="12"/>
  <c r="L123" i="12"/>
  <c r="F123" i="12"/>
  <c r="I123" i="12"/>
  <c r="J123" i="12"/>
  <c r="M123" i="12"/>
  <c r="N123" i="12"/>
  <c r="Q132" i="12"/>
  <c r="D132" i="12"/>
  <c r="Z132" i="12"/>
  <c r="E132" i="12"/>
  <c r="G132" i="12"/>
  <c r="H132" i="12"/>
  <c r="K132" i="12"/>
  <c r="L132" i="12"/>
  <c r="F132" i="12"/>
  <c r="I132" i="12"/>
  <c r="J132" i="12"/>
  <c r="M132" i="12"/>
  <c r="N132" i="12"/>
  <c r="Q86" i="12"/>
  <c r="D86" i="12"/>
  <c r="Z86" i="12"/>
  <c r="E86" i="12"/>
  <c r="G86" i="12"/>
  <c r="H86" i="12"/>
  <c r="K86" i="12"/>
  <c r="L86" i="12"/>
  <c r="F86" i="12"/>
  <c r="I86" i="12"/>
  <c r="J86" i="12"/>
  <c r="M86" i="12"/>
  <c r="N86" i="12"/>
  <c r="Q27" i="12"/>
  <c r="D27" i="12"/>
  <c r="Z27" i="12"/>
  <c r="E27" i="12"/>
  <c r="G27" i="12"/>
  <c r="H27" i="12"/>
  <c r="K27" i="12"/>
  <c r="L27" i="12"/>
  <c r="F27" i="12"/>
  <c r="I27" i="12"/>
  <c r="J27" i="12"/>
  <c r="M27" i="12"/>
  <c r="N27" i="12"/>
  <c r="Q30" i="12"/>
  <c r="D30" i="12"/>
  <c r="Z30" i="12"/>
  <c r="E30" i="12"/>
  <c r="G30" i="12"/>
  <c r="H30" i="12"/>
  <c r="K30" i="12"/>
  <c r="L30" i="12"/>
  <c r="F30" i="12"/>
  <c r="I30" i="12"/>
  <c r="J30" i="12"/>
  <c r="M30" i="12"/>
  <c r="N30" i="12"/>
  <c r="Q87" i="12"/>
  <c r="D87" i="12"/>
  <c r="Z87" i="12"/>
  <c r="E87" i="12"/>
  <c r="G87" i="12"/>
  <c r="H87" i="12"/>
  <c r="K87" i="12"/>
  <c r="L87" i="12"/>
  <c r="F87" i="12"/>
  <c r="I87" i="12"/>
  <c r="J87" i="12"/>
  <c r="M87" i="12"/>
  <c r="N87" i="12"/>
  <c r="Q38" i="12"/>
  <c r="D38" i="12"/>
  <c r="Z38" i="12"/>
  <c r="E38" i="12"/>
  <c r="G38" i="12"/>
  <c r="H38" i="12"/>
  <c r="K38" i="12"/>
  <c r="L38" i="12"/>
  <c r="F38" i="12"/>
  <c r="I38" i="12"/>
  <c r="J38" i="12"/>
  <c r="M38" i="12"/>
  <c r="N38" i="12"/>
  <c r="Q120" i="12"/>
  <c r="D120" i="12"/>
  <c r="Z120" i="12"/>
  <c r="E120" i="12"/>
  <c r="G120" i="12"/>
  <c r="H120" i="12"/>
  <c r="K120" i="12"/>
  <c r="L120" i="12"/>
  <c r="F120" i="12"/>
  <c r="I120" i="12"/>
  <c r="J120" i="12"/>
  <c r="M120" i="12"/>
  <c r="N120" i="12"/>
  <c r="Q145" i="12"/>
  <c r="D145" i="12"/>
  <c r="Z145" i="12"/>
  <c r="E145" i="12"/>
  <c r="G145" i="12"/>
  <c r="H145" i="12"/>
  <c r="K145" i="12"/>
  <c r="L145" i="12"/>
  <c r="F145" i="12"/>
  <c r="I145" i="12"/>
  <c r="J145" i="12"/>
  <c r="M145" i="12"/>
  <c r="N145" i="12"/>
  <c r="Q105" i="12"/>
  <c r="D105" i="12"/>
  <c r="Z105" i="12"/>
  <c r="E105" i="12"/>
  <c r="G105" i="12"/>
  <c r="H105" i="12"/>
  <c r="K105" i="12"/>
  <c r="L105" i="12"/>
  <c r="F105" i="12"/>
  <c r="I105" i="12"/>
  <c r="J105" i="12"/>
  <c r="M105" i="12"/>
  <c r="N105" i="12"/>
  <c r="Q9" i="12"/>
  <c r="D9" i="12"/>
  <c r="Z9" i="12"/>
  <c r="E9" i="12"/>
  <c r="G9" i="12"/>
  <c r="H9" i="12"/>
  <c r="K9" i="12"/>
  <c r="L9" i="12"/>
  <c r="F9" i="12"/>
  <c r="I9" i="12"/>
  <c r="J9" i="12"/>
  <c r="M9" i="12"/>
  <c r="N9" i="12"/>
  <c r="Q116" i="12"/>
  <c r="D116" i="12"/>
  <c r="Z116" i="12"/>
  <c r="E116" i="12"/>
  <c r="G116" i="12"/>
  <c r="H116" i="12"/>
  <c r="K116" i="12"/>
  <c r="L116" i="12"/>
  <c r="F116" i="12"/>
  <c r="I116" i="12"/>
  <c r="J116" i="12"/>
  <c r="M116" i="12"/>
  <c r="N116" i="12"/>
  <c r="Q138" i="12"/>
  <c r="D138" i="12"/>
  <c r="Z138" i="12"/>
  <c r="E138" i="12"/>
  <c r="G138" i="12"/>
  <c r="H138" i="12"/>
  <c r="K138" i="12"/>
  <c r="L138" i="12"/>
  <c r="F138" i="12"/>
  <c r="I138" i="12"/>
  <c r="J138" i="12"/>
  <c r="M138" i="12"/>
  <c r="N138" i="12"/>
  <c r="Q74" i="12"/>
  <c r="D74" i="12"/>
  <c r="Z74" i="12"/>
  <c r="E74" i="12"/>
  <c r="G74" i="12"/>
  <c r="H74" i="12"/>
  <c r="K74" i="12"/>
  <c r="L74" i="12"/>
  <c r="F74" i="12"/>
  <c r="I74" i="12"/>
  <c r="J74" i="12"/>
  <c r="M74" i="12"/>
  <c r="N74" i="12"/>
  <c r="Q101" i="12"/>
  <c r="D101" i="12"/>
  <c r="Z101" i="12"/>
  <c r="E101" i="12"/>
  <c r="G101" i="12"/>
  <c r="H101" i="12"/>
  <c r="K101" i="12"/>
  <c r="L101" i="12"/>
  <c r="F101" i="12"/>
  <c r="I101" i="12"/>
  <c r="J101" i="12"/>
  <c r="M101" i="12"/>
  <c r="N101" i="12"/>
  <c r="Q121" i="12"/>
  <c r="D121" i="12"/>
  <c r="Z121" i="12"/>
  <c r="E121" i="12"/>
  <c r="G121" i="12"/>
  <c r="H121" i="12"/>
  <c r="K121" i="12"/>
  <c r="L121" i="12"/>
  <c r="F121" i="12"/>
  <c r="I121" i="12"/>
  <c r="J121" i="12"/>
  <c r="M121" i="12"/>
  <c r="N121" i="12"/>
  <c r="Q58" i="12"/>
  <c r="D58" i="12"/>
  <c r="Z58" i="12"/>
  <c r="E58" i="12"/>
  <c r="G58" i="12"/>
  <c r="H58" i="12"/>
  <c r="K58" i="12"/>
  <c r="L58" i="12"/>
  <c r="F58" i="12"/>
  <c r="I58" i="12"/>
  <c r="J58" i="12"/>
  <c r="M58" i="12"/>
  <c r="N58" i="12"/>
  <c r="Q128" i="12"/>
  <c r="D128" i="12"/>
  <c r="Z128" i="12"/>
  <c r="E128" i="12"/>
  <c r="G128" i="12"/>
  <c r="H128" i="12"/>
  <c r="K128" i="12"/>
  <c r="L128" i="12"/>
  <c r="F128" i="12"/>
  <c r="I128" i="12"/>
  <c r="J128" i="12"/>
  <c r="M128" i="12"/>
  <c r="N128" i="12"/>
  <c r="Q64" i="12"/>
  <c r="D64" i="12"/>
  <c r="Z64" i="12"/>
  <c r="E64" i="12"/>
  <c r="G64" i="12"/>
  <c r="H64" i="12"/>
  <c r="K64" i="12"/>
  <c r="L64" i="12"/>
  <c r="F64" i="12"/>
  <c r="I64" i="12"/>
  <c r="J64" i="12"/>
  <c r="M64" i="12"/>
  <c r="N64" i="12"/>
  <c r="Q42" i="12"/>
  <c r="D42" i="12"/>
  <c r="Z42" i="12"/>
  <c r="E42" i="12"/>
  <c r="G42" i="12"/>
  <c r="H42" i="12"/>
  <c r="K42" i="12"/>
  <c r="L42" i="12"/>
  <c r="F42" i="12"/>
  <c r="I42" i="12"/>
  <c r="J42" i="12"/>
  <c r="M42" i="12"/>
  <c r="N42" i="12"/>
  <c r="Q94" i="12"/>
  <c r="D94" i="12"/>
  <c r="Z94" i="12"/>
  <c r="E94" i="12"/>
  <c r="G94" i="12"/>
  <c r="H94" i="12"/>
  <c r="K94" i="12"/>
  <c r="L94" i="12"/>
  <c r="F94" i="12"/>
  <c r="I94" i="12"/>
  <c r="J94" i="12"/>
  <c r="M94" i="12"/>
  <c r="N94" i="12"/>
  <c r="Q112" i="12"/>
  <c r="D112" i="12"/>
  <c r="Z112" i="12"/>
  <c r="E112" i="12"/>
  <c r="G112" i="12"/>
  <c r="H112" i="12"/>
  <c r="K112" i="12"/>
  <c r="L112" i="12"/>
  <c r="F112" i="12"/>
  <c r="I112" i="12"/>
  <c r="J112" i="12"/>
  <c r="M112" i="12"/>
  <c r="N112" i="12"/>
  <c r="Q18" i="12"/>
  <c r="D18" i="12"/>
  <c r="Z18" i="12"/>
  <c r="E18" i="12"/>
  <c r="G18" i="12"/>
  <c r="H18" i="12"/>
  <c r="K18" i="12"/>
  <c r="L18" i="12"/>
  <c r="F18" i="12"/>
  <c r="I18" i="12"/>
  <c r="J18" i="12"/>
  <c r="M18" i="12"/>
  <c r="N18" i="12"/>
  <c r="Q118" i="12"/>
  <c r="D118" i="12"/>
  <c r="Z118" i="12"/>
  <c r="E118" i="12"/>
  <c r="G118" i="12"/>
  <c r="H118" i="12"/>
  <c r="K118" i="12"/>
  <c r="L118" i="12"/>
  <c r="F118" i="12"/>
  <c r="I118" i="12"/>
  <c r="J118" i="12"/>
  <c r="M118" i="12"/>
  <c r="N118" i="12"/>
  <c r="Q59" i="12"/>
  <c r="D59" i="12"/>
  <c r="Z59" i="12"/>
  <c r="E59" i="12"/>
  <c r="G59" i="12"/>
  <c r="H59" i="12"/>
  <c r="K59" i="12"/>
  <c r="L59" i="12"/>
  <c r="F59" i="12"/>
  <c r="I59" i="12"/>
  <c r="J59" i="12"/>
  <c r="M59" i="12"/>
  <c r="N59" i="12"/>
  <c r="Q50" i="12"/>
  <c r="D50" i="12"/>
  <c r="Z50" i="12"/>
  <c r="E50" i="12"/>
  <c r="G50" i="12"/>
  <c r="H50" i="12"/>
  <c r="K50" i="12"/>
  <c r="L50" i="12"/>
  <c r="F50" i="12"/>
  <c r="I50" i="12"/>
  <c r="J50" i="12"/>
  <c r="M50" i="12"/>
  <c r="N50" i="12"/>
  <c r="Q109" i="12"/>
  <c r="D109" i="12"/>
  <c r="Z109" i="12"/>
  <c r="E109" i="12"/>
  <c r="G109" i="12"/>
  <c r="H109" i="12"/>
  <c r="K109" i="12"/>
  <c r="L109" i="12"/>
  <c r="F109" i="12"/>
  <c r="I109" i="12"/>
  <c r="J109" i="12"/>
  <c r="M109" i="12"/>
  <c r="N109" i="12"/>
  <c r="Q28" i="12"/>
  <c r="D28" i="12"/>
  <c r="Z28" i="12"/>
  <c r="E28" i="12"/>
  <c r="G28" i="12"/>
  <c r="H28" i="12"/>
  <c r="K28" i="12"/>
  <c r="L28" i="12"/>
  <c r="F28" i="12"/>
  <c r="I28" i="12"/>
  <c r="J28" i="12"/>
  <c r="M28" i="12"/>
  <c r="N28" i="12"/>
  <c r="Q68" i="12"/>
  <c r="D68" i="12"/>
  <c r="Z68" i="12"/>
  <c r="E68" i="12"/>
  <c r="G68" i="12"/>
  <c r="H68" i="12"/>
  <c r="K68" i="12"/>
  <c r="L68" i="12"/>
  <c r="F68" i="12"/>
  <c r="I68" i="12"/>
  <c r="J68" i="12"/>
  <c r="M68" i="12"/>
  <c r="N68" i="12"/>
  <c r="Q76" i="12"/>
  <c r="D76" i="12"/>
  <c r="Z76" i="12"/>
  <c r="E76" i="12"/>
  <c r="G76" i="12"/>
  <c r="H76" i="12"/>
  <c r="K76" i="12"/>
  <c r="L76" i="12"/>
  <c r="F76" i="12"/>
  <c r="I76" i="12"/>
  <c r="J76" i="12"/>
  <c r="M76" i="12"/>
  <c r="N76" i="12"/>
  <c r="Q34" i="12"/>
  <c r="D34" i="12"/>
  <c r="Z34" i="12"/>
  <c r="E34" i="12"/>
  <c r="G34" i="12"/>
  <c r="H34" i="12"/>
  <c r="K34" i="12"/>
  <c r="L34" i="12"/>
  <c r="F34" i="12"/>
  <c r="I34" i="12"/>
  <c r="J34" i="12"/>
  <c r="M34" i="12"/>
  <c r="N34" i="12"/>
  <c r="Q125" i="12"/>
  <c r="D125" i="12"/>
  <c r="Z125" i="12"/>
  <c r="E125" i="12"/>
  <c r="G125" i="12"/>
  <c r="H125" i="12"/>
  <c r="K125" i="12"/>
  <c r="L125" i="12"/>
  <c r="F125" i="12"/>
  <c r="I125" i="12"/>
  <c r="J125" i="12"/>
  <c r="M125" i="12"/>
  <c r="N125" i="12"/>
  <c r="Q82" i="12"/>
  <c r="D82" i="12"/>
  <c r="Z82" i="12"/>
  <c r="E82" i="12"/>
  <c r="G82" i="12"/>
  <c r="H82" i="12"/>
  <c r="K82" i="12"/>
  <c r="L82" i="12"/>
  <c r="F82" i="12"/>
  <c r="I82" i="12"/>
  <c r="J82" i="12"/>
  <c r="M82" i="12"/>
  <c r="N82" i="12"/>
  <c r="Q21" i="12"/>
  <c r="D21" i="12"/>
  <c r="Z21" i="12"/>
  <c r="E21" i="12"/>
  <c r="G21" i="12"/>
  <c r="H21" i="12"/>
  <c r="K21" i="12"/>
  <c r="L21" i="12"/>
  <c r="F21" i="12"/>
  <c r="I21" i="12"/>
  <c r="J21" i="12"/>
  <c r="M21" i="12"/>
  <c r="N21" i="12"/>
  <c r="Q10" i="12"/>
  <c r="D10" i="12"/>
  <c r="Z10" i="12"/>
  <c r="E10" i="12"/>
  <c r="G10" i="12"/>
  <c r="H10" i="12"/>
  <c r="K10" i="12"/>
  <c r="L10" i="12"/>
  <c r="F10" i="12"/>
  <c r="I10" i="12"/>
  <c r="J10" i="12"/>
  <c r="M10" i="12"/>
  <c r="N10" i="12"/>
  <c r="Q93" i="12"/>
  <c r="D93" i="12"/>
  <c r="Z93" i="12"/>
  <c r="E93" i="12"/>
  <c r="G93" i="12"/>
  <c r="H93" i="12"/>
  <c r="K93" i="12"/>
  <c r="L93" i="12"/>
  <c r="F93" i="12"/>
  <c r="I93" i="12"/>
  <c r="J93" i="12"/>
  <c r="M93" i="12"/>
  <c r="N93" i="12"/>
  <c r="Q71" i="12"/>
  <c r="D71" i="12"/>
  <c r="Z71" i="12"/>
  <c r="E71" i="12"/>
  <c r="G71" i="12"/>
  <c r="H71" i="12"/>
  <c r="K71" i="12"/>
  <c r="L71" i="12"/>
  <c r="F71" i="12"/>
  <c r="I71" i="12"/>
  <c r="J71" i="12"/>
  <c r="M71" i="12"/>
  <c r="N71" i="12"/>
  <c r="Q7" i="12"/>
  <c r="D7" i="12"/>
  <c r="Z7" i="12"/>
  <c r="E7" i="12"/>
  <c r="G7" i="12"/>
  <c r="H7" i="12"/>
  <c r="K7" i="12"/>
  <c r="L7" i="12"/>
  <c r="F7" i="12"/>
  <c r="I7" i="12"/>
  <c r="J7" i="12"/>
  <c r="M7" i="12"/>
  <c r="N7" i="12"/>
  <c r="Q47" i="12"/>
  <c r="D47" i="12"/>
  <c r="Z47" i="12"/>
  <c r="E47" i="12"/>
  <c r="G47" i="12"/>
  <c r="H47" i="12"/>
  <c r="K47" i="12"/>
  <c r="L47" i="12"/>
  <c r="F47" i="12"/>
  <c r="I47" i="12"/>
  <c r="J47" i="12"/>
  <c r="M47" i="12"/>
  <c r="N47" i="12"/>
  <c r="Q66" i="12"/>
  <c r="D66" i="12"/>
  <c r="Z66" i="12"/>
  <c r="E66" i="12"/>
  <c r="G66" i="12"/>
  <c r="H66" i="12"/>
  <c r="K66" i="12"/>
  <c r="L66" i="12"/>
  <c r="F66" i="12"/>
  <c r="I66" i="12"/>
  <c r="J66" i="12"/>
  <c r="M66" i="12"/>
  <c r="N66" i="12"/>
  <c r="Q45" i="12"/>
  <c r="D45" i="12"/>
  <c r="Z45" i="12"/>
  <c r="E45" i="12"/>
  <c r="G45" i="12"/>
  <c r="H45" i="12"/>
  <c r="K45" i="12"/>
  <c r="L45" i="12"/>
  <c r="F45" i="12"/>
  <c r="I45" i="12"/>
  <c r="J45" i="12"/>
  <c r="M45" i="12"/>
  <c r="N45" i="12"/>
  <c r="Q73" i="12"/>
  <c r="D73" i="12"/>
  <c r="Z73" i="12"/>
  <c r="E73" i="12"/>
  <c r="G73" i="12"/>
  <c r="H73" i="12"/>
  <c r="K73" i="12"/>
  <c r="L73" i="12"/>
  <c r="F73" i="12"/>
  <c r="I73" i="12"/>
  <c r="J73" i="12"/>
  <c r="M73" i="12"/>
  <c r="N73" i="12"/>
  <c r="Q26" i="12"/>
  <c r="D26" i="12"/>
  <c r="Z26" i="12"/>
  <c r="E26" i="12"/>
  <c r="G26" i="12"/>
  <c r="H26" i="12"/>
  <c r="K26" i="12"/>
  <c r="L26" i="12"/>
  <c r="F26" i="12"/>
  <c r="I26" i="12"/>
  <c r="J26" i="12"/>
  <c r="M26" i="12"/>
  <c r="N26" i="12"/>
  <c r="Q8" i="12"/>
  <c r="D8" i="12"/>
  <c r="Z8" i="12"/>
  <c r="E8" i="12"/>
  <c r="G8" i="12"/>
  <c r="H8" i="12"/>
  <c r="K8" i="12"/>
  <c r="L8" i="12"/>
  <c r="F8" i="12"/>
  <c r="I8" i="12"/>
  <c r="J8" i="12"/>
  <c r="M8" i="12"/>
  <c r="N8" i="12"/>
  <c r="Q41" i="12"/>
  <c r="D41" i="12"/>
  <c r="Z41" i="12"/>
  <c r="E41" i="12"/>
  <c r="G41" i="12"/>
  <c r="H41" i="12"/>
  <c r="K41" i="12"/>
  <c r="L41" i="12"/>
  <c r="F41" i="12"/>
  <c r="I41" i="12"/>
  <c r="J41" i="12"/>
  <c r="M41" i="12"/>
  <c r="N41" i="12"/>
  <c r="Q111" i="12"/>
  <c r="D111" i="12"/>
  <c r="Z111" i="12"/>
  <c r="E111" i="12"/>
  <c r="G111" i="12"/>
  <c r="H111" i="12"/>
  <c r="K111" i="12"/>
  <c r="L111" i="12"/>
  <c r="F111" i="12"/>
  <c r="I111" i="12"/>
  <c r="J111" i="12"/>
  <c r="M111" i="12"/>
  <c r="N111" i="12"/>
  <c r="Q53" i="12"/>
  <c r="D53" i="12"/>
  <c r="Z53" i="12"/>
  <c r="E53" i="12"/>
  <c r="G53" i="12"/>
  <c r="H53" i="12"/>
  <c r="K53" i="12"/>
  <c r="L53" i="12"/>
  <c r="F53" i="12"/>
  <c r="I53" i="12"/>
  <c r="J53" i="12"/>
  <c r="M53" i="12"/>
  <c r="N53" i="12"/>
  <c r="Q17" i="12"/>
  <c r="D17" i="12"/>
  <c r="Z17" i="12"/>
  <c r="E17" i="12"/>
  <c r="G17" i="12"/>
  <c r="H17" i="12"/>
  <c r="K17" i="12"/>
  <c r="L17" i="12"/>
  <c r="F17" i="12"/>
  <c r="I17" i="12"/>
  <c r="J17" i="12"/>
  <c r="M17" i="12"/>
  <c r="N17" i="12"/>
  <c r="Q32" i="12"/>
  <c r="D32" i="12"/>
  <c r="Z32" i="12"/>
  <c r="E32" i="12"/>
  <c r="G32" i="12"/>
  <c r="H32" i="12"/>
  <c r="K32" i="12"/>
  <c r="L32" i="12"/>
  <c r="F32" i="12"/>
  <c r="I32" i="12"/>
  <c r="J32" i="12"/>
  <c r="M32" i="12"/>
  <c r="N32" i="12"/>
  <c r="Q90" i="12"/>
  <c r="D90" i="12"/>
  <c r="Z90" i="12"/>
  <c r="E90" i="12"/>
  <c r="G90" i="12"/>
  <c r="H90" i="12"/>
  <c r="K90" i="12"/>
  <c r="L90" i="12"/>
  <c r="F90" i="12"/>
  <c r="I90" i="12"/>
  <c r="J90" i="12"/>
  <c r="M90" i="12"/>
  <c r="N90" i="12"/>
  <c r="Q130" i="12"/>
  <c r="D130" i="12"/>
  <c r="Z130" i="12"/>
  <c r="E130" i="12"/>
  <c r="G130" i="12"/>
  <c r="H130" i="12"/>
  <c r="K130" i="12"/>
  <c r="L130" i="12"/>
  <c r="F130" i="12"/>
  <c r="I130" i="12"/>
  <c r="J130" i="12"/>
  <c r="M130" i="12"/>
  <c r="N130" i="12"/>
  <c r="O81" i="12"/>
  <c r="O44" i="12"/>
  <c r="O122" i="12"/>
  <c r="O37" i="12"/>
  <c r="O23" i="12"/>
  <c r="O51" i="12"/>
  <c r="O75" i="12"/>
  <c r="O13" i="12"/>
  <c r="O124" i="12"/>
  <c r="O89" i="12"/>
  <c r="O144" i="12"/>
  <c r="O107" i="12"/>
  <c r="O115" i="12"/>
  <c r="O67" i="12"/>
  <c r="O95" i="12"/>
  <c r="O24" i="12"/>
  <c r="O22" i="12"/>
  <c r="O56" i="12"/>
  <c r="O15" i="12"/>
  <c r="O61" i="12"/>
  <c r="O5" i="12"/>
  <c r="O96" i="12"/>
  <c r="O54" i="12"/>
  <c r="O2" i="12"/>
  <c r="O30" i="12"/>
  <c r="O38" i="12"/>
  <c r="O105" i="12"/>
  <c r="O138" i="12"/>
  <c r="O101" i="12"/>
  <c r="O42" i="12"/>
  <c r="O112" i="12"/>
  <c r="O28" i="12"/>
  <c r="O76" i="12"/>
  <c r="O34" i="12"/>
  <c r="O125" i="12"/>
  <c r="O10" i="12"/>
  <c r="O71" i="12"/>
  <c r="O73" i="12"/>
  <c r="O111" i="12"/>
  <c r="O110" i="12"/>
  <c r="O100" i="12"/>
  <c r="O52" i="12"/>
  <c r="O106" i="12"/>
  <c r="O12" i="12"/>
  <c r="O63" i="12"/>
  <c r="O70" i="12"/>
  <c r="O108" i="12"/>
  <c r="O133" i="12"/>
  <c r="O92" i="12"/>
  <c r="O117" i="12"/>
  <c r="O16" i="12"/>
  <c r="O147" i="12"/>
  <c r="O134" i="12"/>
  <c r="O31" i="12"/>
  <c r="O141" i="12"/>
  <c r="O55" i="12"/>
  <c r="O49" i="12"/>
  <c r="O84" i="12"/>
  <c r="O78" i="12"/>
  <c r="O60" i="12"/>
  <c r="O149" i="12"/>
  <c r="O91" i="12"/>
  <c r="O131" i="12"/>
  <c r="O4" i="12"/>
  <c r="O3" i="12"/>
  <c r="O129" i="12"/>
  <c r="O40" i="12"/>
  <c r="O127" i="12"/>
  <c r="O62" i="12"/>
  <c r="O99" i="12"/>
  <c r="O35" i="12"/>
  <c r="O136" i="12"/>
  <c r="O102" i="12"/>
  <c r="O113" i="12"/>
  <c r="O33" i="12"/>
  <c r="O104" i="12"/>
  <c r="O14" i="12"/>
  <c r="O83" i="12"/>
  <c r="O72" i="12"/>
  <c r="O119" i="12"/>
  <c r="O97" i="12"/>
  <c r="O6" i="12"/>
  <c r="O79" i="12"/>
  <c r="O69" i="12"/>
  <c r="O48" i="12"/>
  <c r="O140" i="12"/>
  <c r="O148" i="12"/>
  <c r="O135" i="12"/>
  <c r="O57" i="12"/>
  <c r="O142" i="12"/>
  <c r="O43" i="12"/>
  <c r="O46" i="12"/>
  <c r="O36" i="12"/>
  <c r="O20" i="12"/>
  <c r="O150" i="12"/>
  <c r="O139" i="12"/>
  <c r="O65" i="12"/>
  <c r="O98" i="12"/>
  <c r="O11" i="12"/>
  <c r="O103" i="12"/>
  <c r="O146" i="12"/>
  <c r="O126" i="12"/>
  <c r="O29" i="12"/>
  <c r="O114" i="12"/>
  <c r="O88" i="12"/>
  <c r="O137" i="12"/>
  <c r="O85" i="12"/>
  <c r="O143" i="12"/>
  <c r="O19" i="12"/>
  <c r="O25" i="12"/>
  <c r="O80" i="12"/>
  <c r="O39" i="12"/>
  <c r="O77" i="12"/>
  <c r="O123" i="12"/>
  <c r="O132" i="12"/>
  <c r="O86" i="12"/>
  <c r="O27" i="12"/>
  <c r="O87" i="12"/>
  <c r="O120" i="12"/>
  <c r="O145" i="12"/>
  <c r="O9" i="12"/>
  <c r="O116" i="12"/>
  <c r="O74" i="12"/>
  <c r="O121" i="12"/>
  <c r="O58" i="12"/>
  <c r="O128" i="12"/>
  <c r="O64" i="12"/>
  <c r="O94" i="12"/>
  <c r="O18" i="12"/>
  <c r="O118" i="12"/>
  <c r="O59" i="12"/>
  <c r="O50" i="12"/>
  <c r="O109" i="12"/>
  <c r="O68" i="12"/>
  <c r="O82" i="12"/>
  <c r="O21" i="12"/>
  <c r="O93" i="12"/>
  <c r="O7" i="12"/>
  <c r="O47" i="12"/>
  <c r="O66" i="12"/>
  <c r="O45" i="12"/>
  <c r="O26" i="12"/>
  <c r="O8" i="12"/>
  <c r="O41" i="12"/>
  <c r="O53" i="12"/>
  <c r="O17" i="12"/>
  <c r="O32" i="12"/>
  <c r="O90" i="12"/>
  <c r="O130" i="12"/>
  <c r="Q62" i="5"/>
  <c r="D62" i="5"/>
  <c r="Y62" i="5"/>
  <c r="E62" i="5"/>
  <c r="F62" i="5"/>
  <c r="G62" i="5"/>
  <c r="H62" i="5"/>
  <c r="I62" i="5"/>
  <c r="J62" i="5"/>
  <c r="K62" i="5"/>
  <c r="L62" i="5"/>
  <c r="M62" i="5"/>
  <c r="N62" i="5"/>
  <c r="O62" i="5"/>
  <c r="Q75" i="5"/>
  <c r="D75" i="5"/>
  <c r="Y75" i="5"/>
  <c r="E75" i="5"/>
  <c r="F75" i="5"/>
  <c r="G75" i="5"/>
  <c r="H75" i="5"/>
  <c r="I75" i="5"/>
  <c r="J75" i="5"/>
  <c r="K75" i="5"/>
  <c r="L75" i="5"/>
  <c r="M75" i="5"/>
  <c r="N75" i="5"/>
  <c r="O75" i="5"/>
  <c r="Q21" i="5"/>
  <c r="D21" i="5"/>
  <c r="Y21" i="5"/>
  <c r="E21" i="5"/>
  <c r="F21" i="5"/>
  <c r="G21" i="5"/>
  <c r="H21" i="5"/>
  <c r="I21" i="5"/>
  <c r="J21" i="5"/>
  <c r="K21" i="5"/>
  <c r="L21" i="5"/>
  <c r="M21" i="5"/>
  <c r="N21" i="5"/>
  <c r="O21" i="5"/>
  <c r="Q15" i="5"/>
  <c r="D15" i="5"/>
  <c r="Y15" i="5"/>
  <c r="E15" i="5"/>
  <c r="F15" i="5"/>
  <c r="G15" i="5"/>
  <c r="H15" i="5"/>
  <c r="I15" i="5"/>
  <c r="J15" i="5"/>
  <c r="K15" i="5"/>
  <c r="L15" i="5"/>
  <c r="M15" i="5"/>
  <c r="N15" i="5"/>
  <c r="O15" i="5"/>
  <c r="Q36" i="5"/>
  <c r="D36" i="5"/>
  <c r="Y36" i="5"/>
  <c r="E36" i="5"/>
  <c r="F36" i="5"/>
  <c r="G36" i="5"/>
  <c r="H36" i="5"/>
  <c r="I36" i="5"/>
  <c r="J36" i="5"/>
  <c r="K36" i="5"/>
  <c r="L36" i="5"/>
  <c r="M36" i="5"/>
  <c r="N36" i="5"/>
  <c r="O36" i="5"/>
  <c r="Q38" i="5"/>
  <c r="D38" i="5"/>
  <c r="Y38" i="5"/>
  <c r="E38" i="5"/>
  <c r="F38" i="5"/>
  <c r="G38" i="5"/>
  <c r="H38" i="5"/>
  <c r="I38" i="5"/>
  <c r="J38" i="5"/>
  <c r="K38" i="5"/>
  <c r="L38" i="5"/>
  <c r="M38" i="5"/>
  <c r="N38" i="5"/>
  <c r="O38" i="5"/>
  <c r="Q57" i="5"/>
  <c r="D57" i="5"/>
  <c r="Y57" i="5"/>
  <c r="E57" i="5"/>
  <c r="F57" i="5"/>
  <c r="G57" i="5"/>
  <c r="H57" i="5"/>
  <c r="I57" i="5"/>
  <c r="J57" i="5"/>
  <c r="K57" i="5"/>
  <c r="L57" i="5"/>
  <c r="M57" i="5"/>
  <c r="N57" i="5"/>
  <c r="O57" i="5"/>
  <c r="Q16" i="5"/>
  <c r="D16" i="5"/>
  <c r="Y16" i="5"/>
  <c r="E16" i="5"/>
  <c r="F16" i="5"/>
  <c r="G16" i="5"/>
  <c r="H16" i="5"/>
  <c r="I16" i="5"/>
  <c r="J16" i="5"/>
  <c r="K16" i="5"/>
  <c r="L16" i="5"/>
  <c r="M16" i="5"/>
  <c r="N16" i="5"/>
  <c r="O16" i="5"/>
  <c r="Q4" i="5"/>
  <c r="D4" i="5"/>
  <c r="Y4" i="5"/>
  <c r="E4" i="5"/>
  <c r="F4" i="5"/>
  <c r="G4" i="5"/>
  <c r="H4" i="5"/>
  <c r="I4" i="5"/>
  <c r="J4" i="5"/>
  <c r="K4" i="5"/>
  <c r="L4" i="5"/>
  <c r="M4" i="5"/>
  <c r="N4" i="5"/>
  <c r="O4" i="5"/>
  <c r="Q6" i="5"/>
  <c r="D6" i="5"/>
  <c r="Y6" i="5"/>
  <c r="E6" i="5"/>
  <c r="F6" i="5"/>
  <c r="G6" i="5"/>
  <c r="H6" i="5"/>
  <c r="I6" i="5"/>
  <c r="J6" i="5"/>
  <c r="K6" i="5"/>
  <c r="L6" i="5"/>
  <c r="M6" i="5"/>
  <c r="N6" i="5"/>
  <c r="O6" i="5"/>
  <c r="Q14" i="5"/>
  <c r="D14" i="5"/>
  <c r="Y14" i="5"/>
  <c r="E14" i="5"/>
  <c r="F14" i="5"/>
  <c r="G14" i="5"/>
  <c r="H14" i="5"/>
  <c r="I14" i="5"/>
  <c r="J14" i="5"/>
  <c r="K14" i="5"/>
  <c r="L14" i="5"/>
  <c r="M14" i="5"/>
  <c r="N14" i="5"/>
  <c r="O14" i="5"/>
  <c r="Q60" i="5"/>
  <c r="D60" i="5"/>
  <c r="Y60" i="5"/>
  <c r="E60" i="5"/>
  <c r="F60" i="5"/>
  <c r="G60" i="5"/>
  <c r="H60" i="5"/>
  <c r="I60" i="5"/>
  <c r="J60" i="5"/>
  <c r="K60" i="5"/>
  <c r="L60" i="5"/>
  <c r="M60" i="5"/>
  <c r="N60" i="5"/>
  <c r="O60" i="5"/>
  <c r="Q37" i="5"/>
  <c r="D37" i="5"/>
  <c r="Y37" i="5"/>
  <c r="E37" i="5"/>
  <c r="F37" i="5"/>
  <c r="G37" i="5"/>
  <c r="H37" i="5"/>
  <c r="I37" i="5"/>
  <c r="J37" i="5"/>
  <c r="K37" i="5"/>
  <c r="L37" i="5"/>
  <c r="M37" i="5"/>
  <c r="N37" i="5"/>
  <c r="O37" i="5"/>
  <c r="Q76" i="5"/>
  <c r="D76" i="5"/>
  <c r="Y76" i="5"/>
  <c r="E76" i="5"/>
  <c r="F76" i="5"/>
  <c r="G76" i="5"/>
  <c r="H76" i="5"/>
  <c r="I76" i="5"/>
  <c r="J76" i="5"/>
  <c r="K76" i="5"/>
  <c r="L76" i="5"/>
  <c r="M76" i="5"/>
  <c r="N76" i="5"/>
  <c r="O76" i="5"/>
  <c r="Q61" i="5"/>
  <c r="D61" i="5"/>
  <c r="Y61" i="5"/>
  <c r="E61" i="5"/>
  <c r="F61" i="5"/>
  <c r="G61" i="5"/>
  <c r="H61" i="5"/>
  <c r="I61" i="5"/>
  <c r="J61" i="5"/>
  <c r="K61" i="5"/>
  <c r="L61" i="5"/>
  <c r="M61" i="5"/>
  <c r="N61" i="5"/>
  <c r="O61" i="5"/>
  <c r="Q7" i="5"/>
  <c r="D7" i="5"/>
  <c r="Y7" i="5"/>
  <c r="E7" i="5"/>
  <c r="F7" i="5"/>
  <c r="G7" i="5"/>
  <c r="H7" i="5"/>
  <c r="I7" i="5"/>
  <c r="J7" i="5"/>
  <c r="K7" i="5"/>
  <c r="L7" i="5"/>
  <c r="M7" i="5"/>
  <c r="N7" i="5"/>
  <c r="O7" i="5"/>
  <c r="Q26" i="5"/>
  <c r="D26" i="5"/>
  <c r="Y26" i="5"/>
  <c r="E26" i="5"/>
  <c r="F26" i="5"/>
  <c r="G26" i="5"/>
  <c r="H26" i="5"/>
  <c r="I26" i="5"/>
  <c r="J26" i="5"/>
  <c r="K26" i="5"/>
  <c r="L26" i="5"/>
  <c r="M26" i="5"/>
  <c r="N26" i="5"/>
  <c r="O26" i="5"/>
  <c r="Q80" i="5"/>
  <c r="D80" i="5"/>
  <c r="Y80" i="5"/>
  <c r="E80" i="5"/>
  <c r="F80" i="5"/>
  <c r="G80" i="5"/>
  <c r="H80" i="5"/>
  <c r="I80" i="5"/>
  <c r="J80" i="5"/>
  <c r="K80" i="5"/>
  <c r="L80" i="5"/>
  <c r="M80" i="5"/>
  <c r="N80" i="5"/>
  <c r="O80" i="5"/>
  <c r="Q17" i="5"/>
  <c r="D17" i="5"/>
  <c r="Y17" i="5"/>
  <c r="E17" i="5"/>
  <c r="F17" i="5"/>
  <c r="G17" i="5"/>
  <c r="H17" i="5"/>
  <c r="I17" i="5"/>
  <c r="J17" i="5"/>
  <c r="K17" i="5"/>
  <c r="L17" i="5"/>
  <c r="M17" i="5"/>
  <c r="N17" i="5"/>
  <c r="O17" i="5"/>
  <c r="Q54" i="5"/>
  <c r="D54" i="5"/>
  <c r="Y54" i="5"/>
  <c r="E54" i="5"/>
  <c r="F54" i="5"/>
  <c r="G54" i="5"/>
  <c r="H54" i="5"/>
  <c r="I54" i="5"/>
  <c r="J54" i="5"/>
  <c r="K54" i="5"/>
  <c r="L54" i="5"/>
  <c r="M54" i="5"/>
  <c r="N54" i="5"/>
  <c r="O54" i="5"/>
  <c r="Q39" i="5"/>
  <c r="D39" i="5"/>
  <c r="Y39" i="5"/>
  <c r="E39" i="5"/>
  <c r="F39" i="5"/>
  <c r="G39" i="5"/>
  <c r="H39" i="5"/>
  <c r="I39" i="5"/>
  <c r="J39" i="5"/>
  <c r="K39" i="5"/>
  <c r="L39" i="5"/>
  <c r="M39" i="5"/>
  <c r="N39" i="5"/>
  <c r="O39" i="5"/>
  <c r="Q12" i="5"/>
  <c r="D12" i="5"/>
  <c r="Y12" i="5"/>
  <c r="E12" i="5"/>
  <c r="F12" i="5"/>
  <c r="G12" i="5"/>
  <c r="H12" i="5"/>
  <c r="I12" i="5"/>
  <c r="J12" i="5"/>
  <c r="K12" i="5"/>
  <c r="L12" i="5"/>
  <c r="M12" i="5"/>
  <c r="N12" i="5"/>
  <c r="O12" i="5"/>
  <c r="Q58" i="5"/>
  <c r="D58" i="5"/>
  <c r="Y58" i="5"/>
  <c r="E58" i="5"/>
  <c r="F58" i="5"/>
  <c r="G58" i="5"/>
  <c r="H58" i="5"/>
  <c r="I58" i="5"/>
  <c r="J58" i="5"/>
  <c r="K58" i="5"/>
  <c r="L58" i="5"/>
  <c r="M58" i="5"/>
  <c r="N58" i="5"/>
  <c r="O58" i="5"/>
  <c r="Q31" i="5"/>
  <c r="D31" i="5"/>
  <c r="Y31" i="5"/>
  <c r="E31" i="5"/>
  <c r="F31" i="5"/>
  <c r="G31" i="5"/>
  <c r="H31" i="5"/>
  <c r="I31" i="5"/>
  <c r="J31" i="5"/>
  <c r="K31" i="5"/>
  <c r="L31" i="5"/>
  <c r="M31" i="5"/>
  <c r="N31" i="5"/>
  <c r="O31" i="5"/>
  <c r="Q29" i="5"/>
  <c r="D29" i="5"/>
  <c r="Y29" i="5"/>
  <c r="E29" i="5"/>
  <c r="F29" i="5"/>
  <c r="G29" i="5"/>
  <c r="H29" i="5"/>
  <c r="I29" i="5"/>
  <c r="J29" i="5"/>
  <c r="K29" i="5"/>
  <c r="L29" i="5"/>
  <c r="M29" i="5"/>
  <c r="N29" i="5"/>
  <c r="O29" i="5"/>
  <c r="Q43" i="5"/>
  <c r="D43" i="5"/>
  <c r="Y43" i="5"/>
  <c r="E43" i="5"/>
  <c r="F43" i="5"/>
  <c r="G43" i="5"/>
  <c r="H43" i="5"/>
  <c r="I43" i="5"/>
  <c r="J43" i="5"/>
  <c r="K43" i="5"/>
  <c r="L43" i="5"/>
  <c r="M43" i="5"/>
  <c r="N43" i="5"/>
  <c r="O43" i="5"/>
  <c r="Q27" i="5"/>
  <c r="D27" i="5"/>
  <c r="Y27" i="5"/>
  <c r="E27" i="5"/>
  <c r="F27" i="5"/>
  <c r="G27" i="5"/>
  <c r="H27" i="5"/>
  <c r="I27" i="5"/>
  <c r="J27" i="5"/>
  <c r="K27" i="5"/>
  <c r="L27" i="5"/>
  <c r="M27" i="5"/>
  <c r="N27" i="5"/>
  <c r="O27" i="5"/>
  <c r="Q55" i="5"/>
  <c r="D55" i="5"/>
  <c r="Y55" i="5"/>
  <c r="E55" i="5"/>
  <c r="F55" i="5"/>
  <c r="G55" i="5"/>
  <c r="H55" i="5"/>
  <c r="I55" i="5"/>
  <c r="J55" i="5"/>
  <c r="K55" i="5"/>
  <c r="L55" i="5"/>
  <c r="M55" i="5"/>
  <c r="N55" i="5"/>
  <c r="O55" i="5"/>
  <c r="Q33" i="5"/>
  <c r="D33" i="5"/>
  <c r="Y33" i="5"/>
  <c r="E33" i="5"/>
  <c r="F33" i="5"/>
  <c r="G33" i="5"/>
  <c r="H33" i="5"/>
  <c r="I33" i="5"/>
  <c r="J33" i="5"/>
  <c r="K33" i="5"/>
  <c r="L33" i="5"/>
  <c r="M33" i="5"/>
  <c r="N33" i="5"/>
  <c r="O33" i="5"/>
  <c r="Q3" i="5"/>
  <c r="D3" i="5"/>
  <c r="Y3" i="5"/>
  <c r="E3" i="5"/>
  <c r="F3" i="5"/>
  <c r="G3" i="5"/>
  <c r="H3" i="5"/>
  <c r="I3" i="5"/>
  <c r="J3" i="5"/>
  <c r="K3" i="5"/>
  <c r="L3" i="5"/>
  <c r="M3" i="5"/>
  <c r="N3" i="5"/>
  <c r="O3" i="5"/>
  <c r="Q9" i="5"/>
  <c r="D9" i="5"/>
  <c r="Y9" i="5"/>
  <c r="E9" i="5"/>
  <c r="F9" i="5"/>
  <c r="G9" i="5"/>
  <c r="H9" i="5"/>
  <c r="I9" i="5"/>
  <c r="J9" i="5"/>
  <c r="K9" i="5"/>
  <c r="L9" i="5"/>
  <c r="M9" i="5"/>
  <c r="N9" i="5"/>
  <c r="O9" i="5"/>
  <c r="Q20" i="5"/>
  <c r="D20" i="5"/>
  <c r="Y20" i="5"/>
  <c r="E20" i="5"/>
  <c r="F20" i="5"/>
  <c r="G20" i="5"/>
  <c r="H20" i="5"/>
  <c r="I20" i="5"/>
  <c r="J20" i="5"/>
  <c r="K20" i="5"/>
  <c r="L20" i="5"/>
  <c r="M20" i="5"/>
  <c r="N20" i="5"/>
  <c r="O20" i="5"/>
  <c r="Q51" i="5"/>
  <c r="D51" i="5"/>
  <c r="Y51" i="5"/>
  <c r="E51" i="5"/>
  <c r="F51" i="5"/>
  <c r="G51" i="5"/>
  <c r="H51" i="5"/>
  <c r="I51" i="5"/>
  <c r="J51" i="5"/>
  <c r="K51" i="5"/>
  <c r="L51" i="5"/>
  <c r="M51" i="5"/>
  <c r="N51" i="5"/>
  <c r="O51" i="5"/>
  <c r="Q70" i="5"/>
  <c r="D70" i="5"/>
  <c r="Y70" i="5"/>
  <c r="E70" i="5"/>
  <c r="F70" i="5"/>
  <c r="G70" i="5"/>
  <c r="H70" i="5"/>
  <c r="I70" i="5"/>
  <c r="J70" i="5"/>
  <c r="K70" i="5"/>
  <c r="L70" i="5"/>
  <c r="M70" i="5"/>
  <c r="N70" i="5"/>
  <c r="O70" i="5"/>
  <c r="Q88" i="5"/>
  <c r="D88" i="5"/>
  <c r="Y88" i="5"/>
  <c r="E88" i="5"/>
  <c r="F88" i="5"/>
  <c r="G88" i="5"/>
  <c r="H88" i="5"/>
  <c r="I88" i="5"/>
  <c r="J88" i="5"/>
  <c r="K88" i="5"/>
  <c r="L88" i="5"/>
  <c r="M88" i="5"/>
  <c r="N88" i="5"/>
  <c r="O88" i="5"/>
  <c r="Q11" i="5"/>
  <c r="D11" i="5"/>
  <c r="Y11" i="5"/>
  <c r="E11" i="5"/>
  <c r="F11" i="5"/>
  <c r="G11" i="5"/>
  <c r="H11" i="5"/>
  <c r="I11" i="5"/>
  <c r="J11" i="5"/>
  <c r="K11" i="5"/>
  <c r="L11" i="5"/>
  <c r="M11" i="5"/>
  <c r="N11" i="5"/>
  <c r="O11" i="5"/>
  <c r="Q50" i="5"/>
  <c r="D50" i="5"/>
  <c r="Y50" i="5"/>
  <c r="E50" i="5"/>
  <c r="F50" i="5"/>
  <c r="G50" i="5"/>
  <c r="H50" i="5"/>
  <c r="I50" i="5"/>
  <c r="J50" i="5"/>
  <c r="K50" i="5"/>
  <c r="L50" i="5"/>
  <c r="M50" i="5"/>
  <c r="N50" i="5"/>
  <c r="O50" i="5"/>
  <c r="Q41" i="5"/>
  <c r="D41" i="5"/>
  <c r="Y41" i="5"/>
  <c r="E41" i="5"/>
  <c r="F41" i="5"/>
  <c r="G41" i="5"/>
  <c r="H41" i="5"/>
  <c r="I41" i="5"/>
  <c r="J41" i="5"/>
  <c r="K41" i="5"/>
  <c r="L41" i="5"/>
  <c r="M41" i="5"/>
  <c r="N41" i="5"/>
  <c r="O41" i="5"/>
  <c r="Q5" i="5"/>
  <c r="D5" i="5"/>
  <c r="Y5" i="5"/>
  <c r="E5" i="5"/>
  <c r="F5" i="5"/>
  <c r="G5" i="5"/>
  <c r="H5" i="5"/>
  <c r="I5" i="5"/>
  <c r="J5" i="5"/>
  <c r="K5" i="5"/>
  <c r="L5" i="5"/>
  <c r="M5" i="5"/>
  <c r="N5" i="5"/>
  <c r="O5" i="5"/>
  <c r="Q47" i="5"/>
  <c r="D47" i="5"/>
  <c r="Y47" i="5"/>
  <c r="E47" i="5"/>
  <c r="F47" i="5"/>
  <c r="G47" i="5"/>
  <c r="H47" i="5"/>
  <c r="I47" i="5"/>
  <c r="J47" i="5"/>
  <c r="K47" i="5"/>
  <c r="L47" i="5"/>
  <c r="M47" i="5"/>
  <c r="N47" i="5"/>
  <c r="O47" i="5"/>
  <c r="Q69" i="5"/>
  <c r="D69" i="5"/>
  <c r="Y69" i="5"/>
  <c r="E69" i="5"/>
  <c r="F69" i="5"/>
  <c r="G69" i="5"/>
  <c r="H69" i="5"/>
  <c r="I69" i="5"/>
  <c r="J69" i="5"/>
  <c r="K69" i="5"/>
  <c r="L69" i="5"/>
  <c r="M69" i="5"/>
  <c r="N69" i="5"/>
  <c r="O69" i="5"/>
  <c r="Q67" i="5"/>
  <c r="D67" i="5"/>
  <c r="Y67" i="5"/>
  <c r="E67" i="5"/>
  <c r="F67" i="5"/>
  <c r="G67" i="5"/>
  <c r="H67" i="5"/>
  <c r="I67" i="5"/>
  <c r="J67" i="5"/>
  <c r="K67" i="5"/>
  <c r="L67" i="5"/>
  <c r="M67" i="5"/>
  <c r="N67" i="5"/>
  <c r="O67" i="5"/>
  <c r="Q86" i="5"/>
  <c r="D86" i="5"/>
  <c r="Y86" i="5"/>
  <c r="E86" i="5"/>
  <c r="F86" i="5"/>
  <c r="G86" i="5"/>
  <c r="H86" i="5"/>
  <c r="I86" i="5"/>
  <c r="J86" i="5"/>
  <c r="K86" i="5"/>
  <c r="L86" i="5"/>
  <c r="M86" i="5"/>
  <c r="N86" i="5"/>
  <c r="O86" i="5"/>
  <c r="Q71" i="5"/>
  <c r="D71" i="5"/>
  <c r="Y71" i="5"/>
  <c r="E71" i="5"/>
  <c r="F71" i="5"/>
  <c r="G71" i="5"/>
  <c r="H71" i="5"/>
  <c r="I71" i="5"/>
  <c r="J71" i="5"/>
  <c r="K71" i="5"/>
  <c r="L71" i="5"/>
  <c r="M71" i="5"/>
  <c r="N71" i="5"/>
  <c r="O71" i="5"/>
  <c r="Q2" i="5"/>
  <c r="D2" i="5"/>
  <c r="Y2" i="5"/>
  <c r="E2" i="5"/>
  <c r="F2" i="5"/>
  <c r="G2" i="5"/>
  <c r="H2" i="5"/>
  <c r="I2" i="5"/>
  <c r="J2" i="5"/>
  <c r="K2" i="5"/>
  <c r="L2" i="5"/>
  <c r="M2" i="5"/>
  <c r="N2" i="5"/>
  <c r="O2" i="5"/>
  <c r="Q49" i="5"/>
  <c r="D49" i="5"/>
  <c r="Y49" i="5"/>
  <c r="E49" i="5"/>
  <c r="F49" i="5"/>
  <c r="G49" i="5"/>
  <c r="H49" i="5"/>
  <c r="I49" i="5"/>
  <c r="J49" i="5"/>
  <c r="K49" i="5"/>
  <c r="L49" i="5"/>
  <c r="M49" i="5"/>
  <c r="N49" i="5"/>
  <c r="O49" i="5"/>
  <c r="Q19" i="5"/>
  <c r="D19" i="5"/>
  <c r="Y19" i="5"/>
  <c r="E19" i="5"/>
  <c r="F19" i="5"/>
  <c r="G19" i="5"/>
  <c r="H19" i="5"/>
  <c r="I19" i="5"/>
  <c r="J19" i="5"/>
  <c r="K19" i="5"/>
  <c r="L19" i="5"/>
  <c r="M19" i="5"/>
  <c r="N19" i="5"/>
  <c r="O19" i="5"/>
  <c r="Q52" i="5"/>
  <c r="D52" i="5"/>
  <c r="Y52" i="5"/>
  <c r="E52" i="5"/>
  <c r="F52" i="5"/>
  <c r="G52" i="5"/>
  <c r="H52" i="5"/>
  <c r="I52" i="5"/>
  <c r="J52" i="5"/>
  <c r="K52" i="5"/>
  <c r="L52" i="5"/>
  <c r="M52" i="5"/>
  <c r="N52" i="5"/>
  <c r="O52" i="5"/>
  <c r="Q78" i="5"/>
  <c r="D78" i="5"/>
  <c r="Y78" i="5"/>
  <c r="E78" i="5"/>
  <c r="F78" i="5"/>
  <c r="G78" i="5"/>
  <c r="H78" i="5"/>
  <c r="I78" i="5"/>
  <c r="J78" i="5"/>
  <c r="K78" i="5"/>
  <c r="L78" i="5"/>
  <c r="M78" i="5"/>
  <c r="N78" i="5"/>
  <c r="O78" i="5"/>
  <c r="Q46" i="5"/>
  <c r="D46" i="5"/>
  <c r="Y46" i="5"/>
  <c r="E46" i="5"/>
  <c r="F46" i="5"/>
  <c r="G46" i="5"/>
  <c r="H46" i="5"/>
  <c r="I46" i="5"/>
  <c r="J46" i="5"/>
  <c r="K46" i="5"/>
  <c r="L46" i="5"/>
  <c r="M46" i="5"/>
  <c r="N46" i="5"/>
  <c r="O46" i="5"/>
  <c r="Q35" i="5"/>
  <c r="D35" i="5"/>
  <c r="Y35" i="5"/>
  <c r="E35" i="5"/>
  <c r="F35" i="5"/>
  <c r="G35" i="5"/>
  <c r="H35" i="5"/>
  <c r="I35" i="5"/>
  <c r="J35" i="5"/>
  <c r="K35" i="5"/>
  <c r="L35" i="5"/>
  <c r="M35" i="5"/>
  <c r="N35" i="5"/>
  <c r="O35" i="5"/>
  <c r="Q72" i="5"/>
  <c r="D72" i="5"/>
  <c r="Y72" i="5"/>
  <c r="E72" i="5"/>
  <c r="F72" i="5"/>
  <c r="G72" i="5"/>
  <c r="H72" i="5"/>
  <c r="I72" i="5"/>
  <c r="J72" i="5"/>
  <c r="K72" i="5"/>
  <c r="L72" i="5"/>
  <c r="M72" i="5"/>
  <c r="N72" i="5"/>
  <c r="O72" i="5"/>
  <c r="Q42" i="5"/>
  <c r="D42" i="5"/>
  <c r="Y42" i="5"/>
  <c r="E42" i="5"/>
  <c r="F42" i="5"/>
  <c r="G42" i="5"/>
  <c r="H42" i="5"/>
  <c r="I42" i="5"/>
  <c r="J42" i="5"/>
  <c r="K42" i="5"/>
  <c r="L42" i="5"/>
  <c r="M42" i="5"/>
  <c r="N42" i="5"/>
  <c r="O42" i="5"/>
  <c r="Q8" i="5"/>
  <c r="D8" i="5"/>
  <c r="Y8" i="5"/>
  <c r="E8" i="5"/>
  <c r="F8" i="5"/>
  <c r="G8" i="5"/>
  <c r="H8" i="5"/>
  <c r="I8" i="5"/>
  <c r="J8" i="5"/>
  <c r="K8" i="5"/>
  <c r="L8" i="5"/>
  <c r="M8" i="5"/>
  <c r="N8" i="5"/>
  <c r="O8" i="5"/>
  <c r="Q53" i="5"/>
  <c r="D53" i="5"/>
  <c r="Y53" i="5"/>
  <c r="E53" i="5"/>
  <c r="F53" i="5"/>
  <c r="G53" i="5"/>
  <c r="H53" i="5"/>
  <c r="I53" i="5"/>
  <c r="J53" i="5"/>
  <c r="K53" i="5"/>
  <c r="L53" i="5"/>
  <c r="M53" i="5"/>
  <c r="N53" i="5"/>
  <c r="O53" i="5"/>
  <c r="Q66" i="5"/>
  <c r="D66" i="5"/>
  <c r="Y66" i="5"/>
  <c r="E66" i="5"/>
  <c r="F66" i="5"/>
  <c r="G66" i="5"/>
  <c r="H66" i="5"/>
  <c r="I66" i="5"/>
  <c r="J66" i="5"/>
  <c r="K66" i="5"/>
  <c r="L66" i="5"/>
  <c r="M66" i="5"/>
  <c r="N66" i="5"/>
  <c r="O66" i="5"/>
  <c r="Q10" i="5"/>
  <c r="D10" i="5"/>
  <c r="Y10" i="5"/>
  <c r="E10" i="5"/>
  <c r="F10" i="5"/>
  <c r="G10" i="5"/>
  <c r="H10" i="5"/>
  <c r="I10" i="5"/>
  <c r="J10" i="5"/>
  <c r="K10" i="5"/>
  <c r="L10" i="5"/>
  <c r="M10" i="5"/>
  <c r="N10" i="5"/>
  <c r="O10" i="5"/>
  <c r="Q28" i="5"/>
  <c r="D28" i="5"/>
  <c r="Y28" i="5"/>
  <c r="E28" i="5"/>
  <c r="F28" i="5"/>
  <c r="G28" i="5"/>
  <c r="H28" i="5"/>
  <c r="I28" i="5"/>
  <c r="J28" i="5"/>
  <c r="K28" i="5"/>
  <c r="L28" i="5"/>
  <c r="M28" i="5"/>
  <c r="N28" i="5"/>
  <c r="O28" i="5"/>
  <c r="Q85" i="5"/>
  <c r="D85" i="5"/>
  <c r="Y85" i="5"/>
  <c r="E85" i="5"/>
  <c r="F85" i="5"/>
  <c r="G85" i="5"/>
  <c r="H85" i="5"/>
  <c r="I85" i="5"/>
  <c r="J85" i="5"/>
  <c r="K85" i="5"/>
  <c r="L85" i="5"/>
  <c r="M85" i="5"/>
  <c r="N85" i="5"/>
  <c r="O85" i="5"/>
  <c r="Q13" i="5"/>
  <c r="D13" i="5"/>
  <c r="Y13" i="5"/>
  <c r="E13" i="5"/>
  <c r="F13" i="5"/>
  <c r="G13" i="5"/>
  <c r="H13" i="5"/>
  <c r="I13" i="5"/>
  <c r="J13" i="5"/>
  <c r="K13" i="5"/>
  <c r="L13" i="5"/>
  <c r="M13" i="5"/>
  <c r="N13" i="5"/>
  <c r="O13" i="5"/>
  <c r="Q77" i="5"/>
  <c r="D77" i="5"/>
  <c r="Y77" i="5"/>
  <c r="E77" i="5"/>
  <c r="F77" i="5"/>
  <c r="G77" i="5"/>
  <c r="H77" i="5"/>
  <c r="I77" i="5"/>
  <c r="J77" i="5"/>
  <c r="K77" i="5"/>
  <c r="L77" i="5"/>
  <c r="M77" i="5"/>
  <c r="N77" i="5"/>
  <c r="O77" i="5"/>
  <c r="Q25" i="5"/>
  <c r="D25" i="5"/>
  <c r="Y25" i="5"/>
  <c r="E25" i="5"/>
  <c r="F25" i="5"/>
  <c r="G25" i="5"/>
  <c r="H25" i="5"/>
  <c r="I25" i="5"/>
  <c r="J25" i="5"/>
  <c r="K25" i="5"/>
  <c r="L25" i="5"/>
  <c r="M25" i="5"/>
  <c r="N25" i="5"/>
  <c r="O25" i="5"/>
  <c r="Q22" i="5"/>
  <c r="D22" i="5"/>
  <c r="Y22" i="5"/>
  <c r="E22" i="5"/>
  <c r="F22" i="5"/>
  <c r="G22" i="5"/>
  <c r="H22" i="5"/>
  <c r="I22" i="5"/>
  <c r="J22" i="5"/>
  <c r="K22" i="5"/>
  <c r="L22" i="5"/>
  <c r="M22" i="5"/>
  <c r="N22" i="5"/>
  <c r="O22" i="5"/>
  <c r="Q90" i="5"/>
  <c r="D90" i="5"/>
  <c r="Y90" i="5"/>
  <c r="E90" i="5"/>
  <c r="F90" i="5"/>
  <c r="G90" i="5"/>
  <c r="H90" i="5"/>
  <c r="I90" i="5"/>
  <c r="J90" i="5"/>
  <c r="K90" i="5"/>
  <c r="L90" i="5"/>
  <c r="M90" i="5"/>
  <c r="N90" i="5"/>
  <c r="O90" i="5"/>
  <c r="Q73" i="5"/>
  <c r="D73" i="5"/>
  <c r="Y73" i="5"/>
  <c r="E73" i="5"/>
  <c r="F73" i="5"/>
  <c r="G73" i="5"/>
  <c r="H73" i="5"/>
  <c r="I73" i="5"/>
  <c r="J73" i="5"/>
  <c r="K73" i="5"/>
  <c r="L73" i="5"/>
  <c r="M73" i="5"/>
  <c r="N73" i="5"/>
  <c r="O73" i="5"/>
  <c r="Q45" i="5"/>
  <c r="D45" i="5"/>
  <c r="Y45" i="5"/>
  <c r="E45" i="5"/>
  <c r="F45" i="5"/>
  <c r="G45" i="5"/>
  <c r="H45" i="5"/>
  <c r="I45" i="5"/>
  <c r="J45" i="5"/>
  <c r="K45" i="5"/>
  <c r="L45" i="5"/>
  <c r="M45" i="5"/>
  <c r="N45" i="5"/>
  <c r="O45" i="5"/>
  <c r="Q18" i="5"/>
  <c r="D18" i="5"/>
  <c r="Y18" i="5"/>
  <c r="E18" i="5"/>
  <c r="F18" i="5"/>
  <c r="G18" i="5"/>
  <c r="H18" i="5"/>
  <c r="I18" i="5"/>
  <c r="J18" i="5"/>
  <c r="K18" i="5"/>
  <c r="L18" i="5"/>
  <c r="M18" i="5"/>
  <c r="N18" i="5"/>
  <c r="O18" i="5"/>
  <c r="Q23" i="5"/>
  <c r="D23" i="5"/>
  <c r="Y23" i="5"/>
  <c r="E23" i="5"/>
  <c r="F23" i="5"/>
  <c r="G23" i="5"/>
  <c r="H23" i="5"/>
  <c r="I23" i="5"/>
  <c r="J23" i="5"/>
  <c r="K23" i="5"/>
  <c r="L23" i="5"/>
  <c r="M23" i="5"/>
  <c r="N23" i="5"/>
  <c r="O23" i="5"/>
  <c r="Q48" i="5"/>
  <c r="D48" i="5"/>
  <c r="Y48" i="5"/>
  <c r="E48" i="5"/>
  <c r="F48" i="5"/>
  <c r="G48" i="5"/>
  <c r="H48" i="5"/>
  <c r="I48" i="5"/>
  <c r="J48" i="5"/>
  <c r="K48" i="5"/>
  <c r="L48" i="5"/>
  <c r="M48" i="5"/>
  <c r="N48" i="5"/>
  <c r="O48" i="5"/>
  <c r="Q65" i="5"/>
  <c r="D65" i="5"/>
  <c r="Y65" i="5"/>
  <c r="E65" i="5"/>
  <c r="F65" i="5"/>
  <c r="G65" i="5"/>
  <c r="H65" i="5"/>
  <c r="I65" i="5"/>
  <c r="J65" i="5"/>
  <c r="K65" i="5"/>
  <c r="L65" i="5"/>
  <c r="M65" i="5"/>
  <c r="N65" i="5"/>
  <c r="O65" i="5"/>
  <c r="Q24" i="5"/>
  <c r="D24" i="5"/>
  <c r="Y24" i="5"/>
  <c r="E24" i="5"/>
  <c r="F24" i="5"/>
  <c r="G24" i="5"/>
  <c r="H24" i="5"/>
  <c r="I24" i="5"/>
  <c r="J24" i="5"/>
  <c r="K24" i="5"/>
  <c r="L24" i="5"/>
  <c r="M24" i="5"/>
  <c r="N24" i="5"/>
  <c r="O24" i="5"/>
  <c r="Q32" i="5"/>
  <c r="D32" i="5"/>
  <c r="Y32" i="5"/>
  <c r="E32" i="5"/>
  <c r="F32" i="5"/>
  <c r="G32" i="5"/>
  <c r="H32" i="5"/>
  <c r="I32" i="5"/>
  <c r="J32" i="5"/>
  <c r="K32" i="5"/>
  <c r="L32" i="5"/>
  <c r="M32" i="5"/>
  <c r="N32" i="5"/>
  <c r="O32" i="5"/>
  <c r="Q64" i="5"/>
  <c r="D64" i="5"/>
  <c r="Y64" i="5"/>
  <c r="E64" i="5"/>
  <c r="F64" i="5"/>
  <c r="G64" i="5"/>
  <c r="H64" i="5"/>
  <c r="I64" i="5"/>
  <c r="J64" i="5"/>
  <c r="K64" i="5"/>
  <c r="L64" i="5"/>
  <c r="M64" i="5"/>
  <c r="N64" i="5"/>
  <c r="O64" i="5"/>
  <c r="Q34" i="5"/>
  <c r="D34" i="5"/>
  <c r="Y34" i="5"/>
  <c r="E34" i="5"/>
  <c r="F34" i="5"/>
  <c r="G34" i="5"/>
  <c r="H34" i="5"/>
  <c r="I34" i="5"/>
  <c r="J34" i="5"/>
  <c r="K34" i="5"/>
  <c r="L34" i="5"/>
  <c r="M34" i="5"/>
  <c r="N34" i="5"/>
  <c r="O34" i="5"/>
  <c r="Q87" i="5"/>
  <c r="D87" i="5"/>
  <c r="Y87" i="5"/>
  <c r="E87" i="5"/>
  <c r="F87" i="5"/>
  <c r="G87" i="5"/>
  <c r="H87" i="5"/>
  <c r="I87" i="5"/>
  <c r="J87" i="5"/>
  <c r="K87" i="5"/>
  <c r="L87" i="5"/>
  <c r="M87" i="5"/>
  <c r="N87" i="5"/>
  <c r="O87" i="5"/>
  <c r="Q63" i="5"/>
  <c r="D63" i="5"/>
  <c r="Y63" i="5"/>
  <c r="E63" i="5"/>
  <c r="F63" i="5"/>
  <c r="G63" i="5"/>
  <c r="H63" i="5"/>
  <c r="I63" i="5"/>
  <c r="J63" i="5"/>
  <c r="K63" i="5"/>
  <c r="L63" i="5"/>
  <c r="M63" i="5"/>
  <c r="N63" i="5"/>
  <c r="O63" i="5"/>
  <c r="Q68" i="5"/>
  <c r="D68" i="5"/>
  <c r="Y68" i="5"/>
  <c r="E68" i="5"/>
  <c r="F68" i="5"/>
  <c r="G68" i="5"/>
  <c r="H68" i="5"/>
  <c r="I68" i="5"/>
  <c r="J68" i="5"/>
  <c r="K68" i="5"/>
  <c r="L68" i="5"/>
  <c r="M68" i="5"/>
  <c r="N68" i="5"/>
  <c r="O68" i="5"/>
  <c r="Q40" i="5"/>
  <c r="D40" i="5"/>
  <c r="Y40" i="5"/>
  <c r="E40" i="5"/>
  <c r="F40" i="5"/>
  <c r="G40" i="5"/>
  <c r="H40" i="5"/>
  <c r="I40" i="5"/>
  <c r="J40" i="5"/>
  <c r="K40" i="5"/>
  <c r="L40" i="5"/>
  <c r="M40" i="5"/>
  <c r="N40" i="5"/>
  <c r="O40" i="5"/>
  <c r="Q82" i="5"/>
  <c r="D82" i="5"/>
  <c r="Y82" i="5"/>
  <c r="E82" i="5"/>
  <c r="F82" i="5"/>
  <c r="G82" i="5"/>
  <c r="H82" i="5"/>
  <c r="I82" i="5"/>
  <c r="J82" i="5"/>
  <c r="K82" i="5"/>
  <c r="L82" i="5"/>
  <c r="M82" i="5"/>
  <c r="N82" i="5"/>
  <c r="O82" i="5"/>
  <c r="Q30" i="5"/>
  <c r="D30" i="5"/>
  <c r="Y30" i="5"/>
  <c r="E30" i="5"/>
  <c r="F30" i="5"/>
  <c r="G30" i="5"/>
  <c r="H30" i="5"/>
  <c r="I30" i="5"/>
  <c r="J30" i="5"/>
  <c r="K30" i="5"/>
  <c r="L30" i="5"/>
  <c r="M30" i="5"/>
  <c r="N30" i="5"/>
  <c r="O30" i="5"/>
  <c r="Q81" i="5"/>
  <c r="D81" i="5"/>
  <c r="Y81" i="5"/>
  <c r="E81" i="5"/>
  <c r="F81" i="5"/>
  <c r="G81" i="5"/>
  <c r="H81" i="5"/>
  <c r="I81" i="5"/>
  <c r="J81" i="5"/>
  <c r="K81" i="5"/>
  <c r="L81" i="5"/>
  <c r="M81" i="5"/>
  <c r="N81" i="5"/>
  <c r="O81" i="5"/>
  <c r="Q84" i="5"/>
  <c r="D84" i="5"/>
  <c r="Y84" i="5"/>
  <c r="E84" i="5"/>
  <c r="F84" i="5"/>
  <c r="G84" i="5"/>
  <c r="H84" i="5"/>
  <c r="I84" i="5"/>
  <c r="J84" i="5"/>
  <c r="K84" i="5"/>
  <c r="L84" i="5"/>
  <c r="M84" i="5"/>
  <c r="N84" i="5"/>
  <c r="O84" i="5"/>
  <c r="Q83" i="5"/>
  <c r="D83" i="5"/>
  <c r="Y83" i="5"/>
  <c r="E83" i="5"/>
  <c r="F83" i="5"/>
  <c r="G83" i="5"/>
  <c r="H83" i="5"/>
  <c r="I83" i="5"/>
  <c r="J83" i="5"/>
  <c r="K83" i="5"/>
  <c r="L83" i="5"/>
  <c r="M83" i="5"/>
  <c r="N83" i="5"/>
  <c r="O83" i="5"/>
  <c r="Q59" i="5"/>
  <c r="D59" i="5"/>
  <c r="Y59" i="5"/>
  <c r="E59" i="5"/>
  <c r="F59" i="5"/>
  <c r="G59" i="5"/>
  <c r="H59" i="5"/>
  <c r="I59" i="5"/>
  <c r="J59" i="5"/>
  <c r="K59" i="5"/>
  <c r="L59" i="5"/>
  <c r="M59" i="5"/>
  <c r="N59" i="5"/>
  <c r="O59" i="5"/>
  <c r="Q56" i="5"/>
  <c r="D56" i="5"/>
  <c r="Y56" i="5"/>
  <c r="E56" i="5"/>
  <c r="F56" i="5"/>
  <c r="G56" i="5"/>
  <c r="H56" i="5"/>
  <c r="I56" i="5"/>
  <c r="J56" i="5"/>
  <c r="K56" i="5"/>
  <c r="L56" i="5"/>
  <c r="M56" i="5"/>
  <c r="N56" i="5"/>
  <c r="O56" i="5"/>
  <c r="Q79" i="5"/>
  <c r="D79" i="5"/>
  <c r="Y79" i="5"/>
  <c r="E79" i="5"/>
  <c r="F79" i="5"/>
  <c r="G79" i="5"/>
  <c r="H79" i="5"/>
  <c r="I79" i="5"/>
  <c r="J79" i="5"/>
  <c r="K79" i="5"/>
  <c r="L79" i="5"/>
  <c r="M79" i="5"/>
  <c r="N79" i="5"/>
  <c r="O79" i="5"/>
  <c r="Q89" i="5"/>
  <c r="D89" i="5"/>
  <c r="Y89" i="5"/>
  <c r="E89" i="5"/>
  <c r="F89" i="5"/>
  <c r="G89" i="5"/>
  <c r="H89" i="5"/>
  <c r="I89" i="5"/>
  <c r="J89" i="5"/>
  <c r="K89" i="5"/>
  <c r="L89" i="5"/>
  <c r="M89" i="5"/>
  <c r="N89" i="5"/>
  <c r="O89" i="5"/>
  <c r="Q44" i="5"/>
  <c r="D44" i="5"/>
  <c r="Y44" i="5"/>
  <c r="E44" i="5"/>
  <c r="F44" i="5"/>
  <c r="G44" i="5"/>
  <c r="H44" i="5"/>
  <c r="I44" i="5"/>
  <c r="J44" i="5"/>
  <c r="K44" i="5"/>
  <c r="L44" i="5"/>
  <c r="M44" i="5"/>
  <c r="N44" i="5"/>
  <c r="O44" i="5"/>
  <c r="Q74" i="5"/>
  <c r="D74" i="5"/>
  <c r="Y74" i="5"/>
  <c r="E74" i="5"/>
  <c r="F74" i="5"/>
  <c r="G74" i="5"/>
  <c r="H74" i="5"/>
  <c r="I74" i="5"/>
  <c r="J74" i="5"/>
  <c r="K74" i="5"/>
  <c r="L74" i="5"/>
  <c r="M74" i="5"/>
  <c r="N74" i="5"/>
  <c r="O74" i="5"/>
  <c r="O92" i="5"/>
  <c r="N92" i="5"/>
  <c r="M92" i="5"/>
  <c r="L92" i="5"/>
  <c r="K92" i="5"/>
  <c r="J92" i="5"/>
  <c r="I92" i="5"/>
  <c r="H92" i="5"/>
  <c r="G92" i="5"/>
  <c r="F92" i="5"/>
  <c r="E92" i="5"/>
  <c r="D92" i="5"/>
  <c r="Q42" i="3"/>
  <c r="D42" i="3"/>
  <c r="Y42" i="3"/>
  <c r="E42" i="3"/>
  <c r="F42" i="3"/>
  <c r="G42" i="3"/>
  <c r="H42" i="3"/>
  <c r="I42" i="3"/>
  <c r="J42" i="3"/>
  <c r="K42" i="3"/>
  <c r="L42" i="3"/>
  <c r="M42" i="3"/>
  <c r="Q2" i="3"/>
  <c r="D2" i="3"/>
  <c r="Y2" i="3"/>
  <c r="E2" i="3"/>
  <c r="F2" i="3"/>
  <c r="G2" i="3"/>
  <c r="H2" i="3"/>
  <c r="I2" i="3"/>
  <c r="J2" i="3"/>
  <c r="K2" i="3"/>
  <c r="L2" i="3"/>
  <c r="M2" i="3"/>
  <c r="Q5" i="3"/>
  <c r="D5" i="3"/>
  <c r="Y5" i="3"/>
  <c r="E5" i="3"/>
  <c r="F5" i="3"/>
  <c r="G5" i="3"/>
  <c r="H5" i="3"/>
  <c r="I5" i="3"/>
  <c r="J5" i="3"/>
  <c r="K5" i="3"/>
  <c r="L5" i="3"/>
  <c r="M5" i="3"/>
  <c r="Q7" i="3"/>
  <c r="D7" i="3"/>
  <c r="Y7" i="3"/>
  <c r="E7" i="3"/>
  <c r="F7" i="3"/>
  <c r="G7" i="3"/>
  <c r="H7" i="3"/>
  <c r="I7" i="3"/>
  <c r="J7" i="3"/>
  <c r="K7" i="3"/>
  <c r="L7" i="3"/>
  <c r="M7" i="3"/>
  <c r="Q64" i="3"/>
  <c r="D64" i="3"/>
  <c r="Y64" i="3"/>
  <c r="E64" i="3"/>
  <c r="F64" i="3"/>
  <c r="G64" i="3"/>
  <c r="H64" i="3"/>
  <c r="I64" i="3"/>
  <c r="J64" i="3"/>
  <c r="K64" i="3"/>
  <c r="L64" i="3"/>
  <c r="M64" i="3"/>
  <c r="Q82" i="3"/>
  <c r="D82" i="3"/>
  <c r="Y82" i="3"/>
  <c r="E82" i="3"/>
  <c r="F82" i="3"/>
  <c r="G82" i="3"/>
  <c r="H82" i="3"/>
  <c r="I82" i="3"/>
  <c r="J82" i="3"/>
  <c r="K82" i="3"/>
  <c r="L82" i="3"/>
  <c r="M82" i="3"/>
  <c r="Q6" i="3"/>
  <c r="D6" i="3"/>
  <c r="Y6" i="3"/>
  <c r="E6" i="3"/>
  <c r="F6" i="3"/>
  <c r="G6" i="3"/>
  <c r="H6" i="3"/>
  <c r="I6" i="3"/>
  <c r="J6" i="3"/>
  <c r="K6" i="3"/>
  <c r="L6" i="3"/>
  <c r="M6" i="3"/>
  <c r="Q44" i="3"/>
  <c r="D44" i="3"/>
  <c r="Y44" i="3"/>
  <c r="E44" i="3"/>
  <c r="F44" i="3"/>
  <c r="G44" i="3"/>
  <c r="H44" i="3"/>
  <c r="I44" i="3"/>
  <c r="J44" i="3"/>
  <c r="K44" i="3"/>
  <c r="L44" i="3"/>
  <c r="M44" i="3"/>
  <c r="Q14" i="3"/>
  <c r="D14" i="3"/>
  <c r="Y14" i="3"/>
  <c r="E14" i="3"/>
  <c r="F14" i="3"/>
  <c r="G14" i="3"/>
  <c r="H14" i="3"/>
  <c r="I14" i="3"/>
  <c r="J14" i="3"/>
  <c r="K14" i="3"/>
  <c r="L14" i="3"/>
  <c r="M14" i="3"/>
  <c r="Q3" i="3"/>
  <c r="D3" i="3"/>
  <c r="Y3" i="3"/>
  <c r="E3" i="3"/>
  <c r="F3" i="3"/>
  <c r="G3" i="3"/>
  <c r="H3" i="3"/>
  <c r="I3" i="3"/>
  <c r="J3" i="3"/>
  <c r="K3" i="3"/>
  <c r="L3" i="3"/>
  <c r="M3" i="3"/>
  <c r="Q12" i="3"/>
  <c r="D12" i="3"/>
  <c r="Y12" i="3"/>
  <c r="E12" i="3"/>
  <c r="F12" i="3"/>
  <c r="G12" i="3"/>
  <c r="H12" i="3"/>
  <c r="I12" i="3"/>
  <c r="J12" i="3"/>
  <c r="K12" i="3"/>
  <c r="L12" i="3"/>
  <c r="M12" i="3"/>
  <c r="Q4" i="3"/>
  <c r="D4" i="3"/>
  <c r="Y4" i="3"/>
  <c r="E4" i="3"/>
  <c r="F4" i="3"/>
  <c r="G4" i="3"/>
  <c r="H4" i="3"/>
  <c r="I4" i="3"/>
  <c r="J4" i="3"/>
  <c r="K4" i="3"/>
  <c r="L4" i="3"/>
  <c r="M4" i="3"/>
  <c r="Q8" i="3"/>
  <c r="D8" i="3"/>
  <c r="Y8" i="3"/>
  <c r="E8" i="3"/>
  <c r="F8" i="3"/>
  <c r="G8" i="3"/>
  <c r="H8" i="3"/>
  <c r="I8" i="3"/>
  <c r="J8" i="3"/>
  <c r="K8" i="3"/>
  <c r="L8" i="3"/>
  <c r="M8" i="3"/>
  <c r="Q18" i="3"/>
  <c r="D18" i="3"/>
  <c r="Y18" i="3"/>
  <c r="E18" i="3"/>
  <c r="F18" i="3"/>
  <c r="G18" i="3"/>
  <c r="H18" i="3"/>
  <c r="I18" i="3"/>
  <c r="J18" i="3"/>
  <c r="K18" i="3"/>
  <c r="L18" i="3"/>
  <c r="M18" i="3"/>
  <c r="Q11" i="3"/>
  <c r="D11" i="3"/>
  <c r="Y11" i="3"/>
  <c r="E11" i="3"/>
  <c r="F11" i="3"/>
  <c r="G11" i="3"/>
  <c r="H11" i="3"/>
  <c r="I11" i="3"/>
  <c r="J11" i="3"/>
  <c r="K11" i="3"/>
  <c r="L11" i="3"/>
  <c r="M11" i="3"/>
  <c r="Q16" i="3"/>
  <c r="D16" i="3"/>
  <c r="Y16" i="3"/>
  <c r="E16" i="3"/>
  <c r="F16" i="3"/>
  <c r="G16" i="3"/>
  <c r="H16" i="3"/>
  <c r="I16" i="3"/>
  <c r="J16" i="3"/>
  <c r="K16" i="3"/>
  <c r="L16" i="3"/>
  <c r="M16" i="3"/>
  <c r="Q99" i="3"/>
  <c r="D99" i="3"/>
  <c r="Y99" i="3"/>
  <c r="E99" i="3"/>
  <c r="F99" i="3"/>
  <c r="G99" i="3"/>
  <c r="H99" i="3"/>
  <c r="I99" i="3"/>
  <c r="J99" i="3"/>
  <c r="K99" i="3"/>
  <c r="L99" i="3"/>
  <c r="M99" i="3"/>
  <c r="Q28" i="3"/>
  <c r="D28" i="3"/>
  <c r="Y28" i="3"/>
  <c r="E28" i="3"/>
  <c r="F28" i="3"/>
  <c r="G28" i="3"/>
  <c r="H28" i="3"/>
  <c r="I28" i="3"/>
  <c r="J28" i="3"/>
  <c r="K28" i="3"/>
  <c r="L28" i="3"/>
  <c r="M28" i="3"/>
  <c r="Q25" i="3"/>
  <c r="D25" i="3"/>
  <c r="Y25" i="3"/>
  <c r="E25" i="3"/>
  <c r="F25" i="3"/>
  <c r="G25" i="3"/>
  <c r="H25" i="3"/>
  <c r="I25" i="3"/>
  <c r="J25" i="3"/>
  <c r="K25" i="3"/>
  <c r="L25" i="3"/>
  <c r="M25" i="3"/>
  <c r="Q24" i="3"/>
  <c r="D24" i="3"/>
  <c r="Y24" i="3"/>
  <c r="E24" i="3"/>
  <c r="F24" i="3"/>
  <c r="G24" i="3"/>
  <c r="H24" i="3"/>
  <c r="I24" i="3"/>
  <c r="J24" i="3"/>
  <c r="K24" i="3"/>
  <c r="L24" i="3"/>
  <c r="M24" i="3"/>
  <c r="Q9" i="3"/>
  <c r="D9" i="3"/>
  <c r="Y9" i="3"/>
  <c r="E9" i="3"/>
  <c r="F9" i="3"/>
  <c r="G9" i="3"/>
  <c r="H9" i="3"/>
  <c r="I9" i="3"/>
  <c r="J9" i="3"/>
  <c r="K9" i="3"/>
  <c r="L9" i="3"/>
  <c r="M9" i="3"/>
  <c r="Q21" i="3"/>
  <c r="D21" i="3"/>
  <c r="Y21" i="3"/>
  <c r="E21" i="3"/>
  <c r="F21" i="3"/>
  <c r="G21" i="3"/>
  <c r="H21" i="3"/>
  <c r="I21" i="3"/>
  <c r="J21" i="3"/>
  <c r="K21" i="3"/>
  <c r="L21" i="3"/>
  <c r="M21" i="3"/>
  <c r="Q27" i="3"/>
  <c r="D27" i="3"/>
  <c r="Y27" i="3"/>
  <c r="E27" i="3"/>
  <c r="F27" i="3"/>
  <c r="G27" i="3"/>
  <c r="H27" i="3"/>
  <c r="I27" i="3"/>
  <c r="J27" i="3"/>
  <c r="K27" i="3"/>
  <c r="L27" i="3"/>
  <c r="M27" i="3"/>
  <c r="Q15" i="3"/>
  <c r="D15" i="3"/>
  <c r="Y15" i="3"/>
  <c r="E15" i="3"/>
  <c r="F15" i="3"/>
  <c r="G15" i="3"/>
  <c r="H15" i="3"/>
  <c r="I15" i="3"/>
  <c r="J15" i="3"/>
  <c r="K15" i="3"/>
  <c r="L15" i="3"/>
  <c r="M15" i="3"/>
  <c r="Q10" i="3"/>
  <c r="D10" i="3"/>
  <c r="Y10" i="3"/>
  <c r="E10" i="3"/>
  <c r="F10" i="3"/>
  <c r="G10" i="3"/>
  <c r="H10" i="3"/>
  <c r="I10" i="3"/>
  <c r="J10" i="3"/>
  <c r="K10" i="3"/>
  <c r="L10" i="3"/>
  <c r="M10" i="3"/>
  <c r="Q43" i="3"/>
  <c r="D43" i="3"/>
  <c r="Y43" i="3"/>
  <c r="E43" i="3"/>
  <c r="F43" i="3"/>
  <c r="G43" i="3"/>
  <c r="H43" i="3"/>
  <c r="I43" i="3"/>
  <c r="J43" i="3"/>
  <c r="K43" i="3"/>
  <c r="L43" i="3"/>
  <c r="M43" i="3"/>
  <c r="Q31" i="3"/>
  <c r="D31" i="3"/>
  <c r="Y31" i="3"/>
  <c r="E31" i="3"/>
  <c r="F31" i="3"/>
  <c r="G31" i="3"/>
  <c r="H31" i="3"/>
  <c r="I31" i="3"/>
  <c r="J31" i="3"/>
  <c r="K31" i="3"/>
  <c r="L31" i="3"/>
  <c r="M31" i="3"/>
  <c r="Q103" i="3"/>
  <c r="D103" i="3"/>
  <c r="Y103" i="3"/>
  <c r="E103" i="3"/>
  <c r="F103" i="3"/>
  <c r="G103" i="3"/>
  <c r="H103" i="3"/>
  <c r="I103" i="3"/>
  <c r="J103" i="3"/>
  <c r="K103" i="3"/>
  <c r="L103" i="3"/>
  <c r="M103" i="3"/>
  <c r="Q49" i="3"/>
  <c r="D49" i="3"/>
  <c r="Y49" i="3"/>
  <c r="E49" i="3"/>
  <c r="F49" i="3"/>
  <c r="G49" i="3"/>
  <c r="H49" i="3"/>
  <c r="I49" i="3"/>
  <c r="J49" i="3"/>
  <c r="K49" i="3"/>
  <c r="L49" i="3"/>
  <c r="M49" i="3"/>
  <c r="Q29" i="3"/>
  <c r="D29" i="3"/>
  <c r="Y29" i="3"/>
  <c r="E29" i="3"/>
  <c r="F29" i="3"/>
  <c r="G29" i="3"/>
  <c r="H29" i="3"/>
  <c r="I29" i="3"/>
  <c r="J29" i="3"/>
  <c r="K29" i="3"/>
  <c r="L29" i="3"/>
  <c r="M29" i="3"/>
  <c r="Q59" i="3"/>
  <c r="D59" i="3"/>
  <c r="Y59" i="3"/>
  <c r="E59" i="3"/>
  <c r="F59" i="3"/>
  <c r="G59" i="3"/>
  <c r="H59" i="3"/>
  <c r="I59" i="3"/>
  <c r="J59" i="3"/>
  <c r="K59" i="3"/>
  <c r="L59" i="3"/>
  <c r="M59" i="3"/>
  <c r="Q20" i="3"/>
  <c r="D20" i="3"/>
  <c r="Y20" i="3"/>
  <c r="E20" i="3"/>
  <c r="F20" i="3"/>
  <c r="G20" i="3"/>
  <c r="H20" i="3"/>
  <c r="I20" i="3"/>
  <c r="J20" i="3"/>
  <c r="K20" i="3"/>
  <c r="L20" i="3"/>
  <c r="M20" i="3"/>
  <c r="Q22" i="3"/>
  <c r="D22" i="3"/>
  <c r="Y22" i="3"/>
  <c r="E22" i="3"/>
  <c r="F22" i="3"/>
  <c r="G22" i="3"/>
  <c r="H22" i="3"/>
  <c r="I22" i="3"/>
  <c r="J22" i="3"/>
  <c r="K22" i="3"/>
  <c r="L22" i="3"/>
  <c r="M22" i="3"/>
  <c r="Q52" i="3"/>
  <c r="D52" i="3"/>
  <c r="Y52" i="3"/>
  <c r="E52" i="3"/>
  <c r="F52" i="3"/>
  <c r="G52" i="3"/>
  <c r="H52" i="3"/>
  <c r="I52" i="3"/>
  <c r="J52" i="3"/>
  <c r="K52" i="3"/>
  <c r="L52" i="3"/>
  <c r="M52" i="3"/>
  <c r="Q37" i="3"/>
  <c r="D37" i="3"/>
  <c r="Y37" i="3"/>
  <c r="E37" i="3"/>
  <c r="F37" i="3"/>
  <c r="G37" i="3"/>
  <c r="H37" i="3"/>
  <c r="I37" i="3"/>
  <c r="J37" i="3"/>
  <c r="K37" i="3"/>
  <c r="L37" i="3"/>
  <c r="M37" i="3"/>
  <c r="Q23" i="3"/>
  <c r="D23" i="3"/>
  <c r="Y23" i="3"/>
  <c r="E23" i="3"/>
  <c r="F23" i="3"/>
  <c r="G23" i="3"/>
  <c r="H23" i="3"/>
  <c r="I23" i="3"/>
  <c r="J23" i="3"/>
  <c r="K23" i="3"/>
  <c r="L23" i="3"/>
  <c r="M23" i="3"/>
  <c r="Q33" i="3"/>
  <c r="D33" i="3"/>
  <c r="Y33" i="3"/>
  <c r="E33" i="3"/>
  <c r="F33" i="3"/>
  <c r="G33" i="3"/>
  <c r="H33" i="3"/>
  <c r="I33" i="3"/>
  <c r="J33" i="3"/>
  <c r="K33" i="3"/>
  <c r="L33" i="3"/>
  <c r="M33" i="3"/>
  <c r="Q54" i="3"/>
  <c r="D54" i="3"/>
  <c r="Y54" i="3"/>
  <c r="E54" i="3"/>
  <c r="F54" i="3"/>
  <c r="G54" i="3"/>
  <c r="H54" i="3"/>
  <c r="I54" i="3"/>
  <c r="J54" i="3"/>
  <c r="K54" i="3"/>
  <c r="L54" i="3"/>
  <c r="M54" i="3"/>
  <c r="Q26" i="3"/>
  <c r="D26" i="3"/>
  <c r="Y26" i="3"/>
  <c r="E26" i="3"/>
  <c r="F26" i="3"/>
  <c r="G26" i="3"/>
  <c r="H26" i="3"/>
  <c r="I26" i="3"/>
  <c r="J26" i="3"/>
  <c r="K26" i="3"/>
  <c r="L26" i="3"/>
  <c r="M26" i="3"/>
  <c r="Q13" i="3"/>
  <c r="D13" i="3"/>
  <c r="Y13" i="3"/>
  <c r="E13" i="3"/>
  <c r="F13" i="3"/>
  <c r="G13" i="3"/>
  <c r="H13" i="3"/>
  <c r="I13" i="3"/>
  <c r="J13" i="3"/>
  <c r="K13" i="3"/>
  <c r="L13" i="3"/>
  <c r="M13" i="3"/>
  <c r="Q30" i="3"/>
  <c r="D30" i="3"/>
  <c r="Y30" i="3"/>
  <c r="E30" i="3"/>
  <c r="F30" i="3"/>
  <c r="G30" i="3"/>
  <c r="H30" i="3"/>
  <c r="I30" i="3"/>
  <c r="J30" i="3"/>
  <c r="K30" i="3"/>
  <c r="L30" i="3"/>
  <c r="M30" i="3"/>
  <c r="Q17" i="3"/>
  <c r="D17" i="3"/>
  <c r="Y17" i="3"/>
  <c r="E17" i="3"/>
  <c r="F17" i="3"/>
  <c r="G17" i="3"/>
  <c r="H17" i="3"/>
  <c r="I17" i="3"/>
  <c r="J17" i="3"/>
  <c r="K17" i="3"/>
  <c r="L17" i="3"/>
  <c r="M17" i="3"/>
  <c r="Q41" i="3"/>
  <c r="D41" i="3"/>
  <c r="Y41" i="3"/>
  <c r="E41" i="3"/>
  <c r="F41" i="3"/>
  <c r="G41" i="3"/>
  <c r="H41" i="3"/>
  <c r="I41" i="3"/>
  <c r="J41" i="3"/>
  <c r="K41" i="3"/>
  <c r="L41" i="3"/>
  <c r="M41" i="3"/>
  <c r="Q50" i="3"/>
  <c r="D50" i="3"/>
  <c r="Y50" i="3"/>
  <c r="E50" i="3"/>
  <c r="F50" i="3"/>
  <c r="G50" i="3"/>
  <c r="H50" i="3"/>
  <c r="I50" i="3"/>
  <c r="J50" i="3"/>
  <c r="K50" i="3"/>
  <c r="L50" i="3"/>
  <c r="M50" i="3"/>
  <c r="Q100" i="3"/>
  <c r="D100" i="3"/>
  <c r="Y100" i="3"/>
  <c r="E100" i="3"/>
  <c r="F100" i="3"/>
  <c r="G100" i="3"/>
  <c r="H100" i="3"/>
  <c r="I100" i="3"/>
  <c r="J100" i="3"/>
  <c r="K100" i="3"/>
  <c r="L100" i="3"/>
  <c r="M100" i="3"/>
  <c r="Q32" i="3"/>
  <c r="D32" i="3"/>
  <c r="Y32" i="3"/>
  <c r="E32" i="3"/>
  <c r="F32" i="3"/>
  <c r="G32" i="3"/>
  <c r="H32" i="3"/>
  <c r="I32" i="3"/>
  <c r="J32" i="3"/>
  <c r="K32" i="3"/>
  <c r="L32" i="3"/>
  <c r="M32" i="3"/>
  <c r="Q19" i="3"/>
  <c r="D19" i="3"/>
  <c r="Y19" i="3"/>
  <c r="E19" i="3"/>
  <c r="F19" i="3"/>
  <c r="G19" i="3"/>
  <c r="H19" i="3"/>
  <c r="I19" i="3"/>
  <c r="J19" i="3"/>
  <c r="K19" i="3"/>
  <c r="L19" i="3"/>
  <c r="M19" i="3"/>
  <c r="Q35" i="3"/>
  <c r="D35" i="3"/>
  <c r="Y35" i="3"/>
  <c r="E35" i="3"/>
  <c r="F35" i="3"/>
  <c r="G35" i="3"/>
  <c r="H35" i="3"/>
  <c r="I35" i="3"/>
  <c r="J35" i="3"/>
  <c r="K35" i="3"/>
  <c r="L35" i="3"/>
  <c r="M35" i="3"/>
  <c r="Q56" i="3"/>
  <c r="D56" i="3"/>
  <c r="Y56" i="3"/>
  <c r="E56" i="3"/>
  <c r="F56" i="3"/>
  <c r="G56" i="3"/>
  <c r="H56" i="3"/>
  <c r="I56" i="3"/>
  <c r="J56" i="3"/>
  <c r="K56" i="3"/>
  <c r="L56" i="3"/>
  <c r="M56" i="3"/>
  <c r="Q39" i="3"/>
  <c r="D39" i="3"/>
  <c r="Y39" i="3"/>
  <c r="E39" i="3"/>
  <c r="F39" i="3"/>
  <c r="G39" i="3"/>
  <c r="H39" i="3"/>
  <c r="I39" i="3"/>
  <c r="J39" i="3"/>
  <c r="K39" i="3"/>
  <c r="L39" i="3"/>
  <c r="M39" i="3"/>
  <c r="Q48" i="3"/>
  <c r="D48" i="3"/>
  <c r="Y48" i="3"/>
  <c r="E48" i="3"/>
  <c r="F48" i="3"/>
  <c r="G48" i="3"/>
  <c r="H48" i="3"/>
  <c r="I48" i="3"/>
  <c r="J48" i="3"/>
  <c r="K48" i="3"/>
  <c r="L48" i="3"/>
  <c r="M48" i="3"/>
  <c r="Q47" i="3"/>
  <c r="D47" i="3"/>
  <c r="Y47" i="3"/>
  <c r="E47" i="3"/>
  <c r="F47" i="3"/>
  <c r="G47" i="3"/>
  <c r="H47" i="3"/>
  <c r="I47" i="3"/>
  <c r="J47" i="3"/>
  <c r="K47" i="3"/>
  <c r="L47" i="3"/>
  <c r="M47" i="3"/>
  <c r="Q45" i="3"/>
  <c r="D45" i="3"/>
  <c r="Y45" i="3"/>
  <c r="E45" i="3"/>
  <c r="F45" i="3"/>
  <c r="G45" i="3"/>
  <c r="H45" i="3"/>
  <c r="I45" i="3"/>
  <c r="J45" i="3"/>
  <c r="K45" i="3"/>
  <c r="L45" i="3"/>
  <c r="M45" i="3"/>
  <c r="Q109" i="3"/>
  <c r="D109" i="3"/>
  <c r="Y109" i="3"/>
  <c r="E109" i="3"/>
  <c r="F109" i="3"/>
  <c r="G109" i="3"/>
  <c r="H109" i="3"/>
  <c r="I109" i="3"/>
  <c r="J109" i="3"/>
  <c r="K109" i="3"/>
  <c r="L109" i="3"/>
  <c r="M109" i="3"/>
  <c r="Q77" i="3"/>
  <c r="D77" i="3"/>
  <c r="Y77" i="3"/>
  <c r="E77" i="3"/>
  <c r="F77" i="3"/>
  <c r="G77" i="3"/>
  <c r="H77" i="3"/>
  <c r="I77" i="3"/>
  <c r="J77" i="3"/>
  <c r="K77" i="3"/>
  <c r="L77" i="3"/>
  <c r="M77" i="3"/>
  <c r="Q36" i="3"/>
  <c r="D36" i="3"/>
  <c r="Y36" i="3"/>
  <c r="E36" i="3"/>
  <c r="F36" i="3"/>
  <c r="G36" i="3"/>
  <c r="H36" i="3"/>
  <c r="I36" i="3"/>
  <c r="J36" i="3"/>
  <c r="K36" i="3"/>
  <c r="L36" i="3"/>
  <c r="M36" i="3"/>
  <c r="Q65" i="3"/>
  <c r="D65" i="3"/>
  <c r="Y65" i="3"/>
  <c r="E65" i="3"/>
  <c r="F65" i="3"/>
  <c r="G65" i="3"/>
  <c r="H65" i="3"/>
  <c r="I65" i="3"/>
  <c r="J65" i="3"/>
  <c r="K65" i="3"/>
  <c r="L65" i="3"/>
  <c r="M65" i="3"/>
  <c r="Q40" i="3"/>
  <c r="D40" i="3"/>
  <c r="Y40" i="3"/>
  <c r="E40" i="3"/>
  <c r="F40" i="3"/>
  <c r="G40" i="3"/>
  <c r="H40" i="3"/>
  <c r="I40" i="3"/>
  <c r="J40" i="3"/>
  <c r="K40" i="3"/>
  <c r="L40" i="3"/>
  <c r="M40" i="3"/>
  <c r="Q34" i="3"/>
  <c r="D34" i="3"/>
  <c r="Y34" i="3"/>
  <c r="E34" i="3"/>
  <c r="F34" i="3"/>
  <c r="G34" i="3"/>
  <c r="H34" i="3"/>
  <c r="I34" i="3"/>
  <c r="J34" i="3"/>
  <c r="K34" i="3"/>
  <c r="L34" i="3"/>
  <c r="M34" i="3"/>
  <c r="Q63" i="3"/>
  <c r="D63" i="3"/>
  <c r="Y63" i="3"/>
  <c r="E63" i="3"/>
  <c r="F63" i="3"/>
  <c r="G63" i="3"/>
  <c r="H63" i="3"/>
  <c r="I63" i="3"/>
  <c r="J63" i="3"/>
  <c r="K63" i="3"/>
  <c r="L63" i="3"/>
  <c r="M63" i="3"/>
  <c r="Q67" i="3"/>
  <c r="D67" i="3"/>
  <c r="Y67" i="3"/>
  <c r="E67" i="3"/>
  <c r="F67" i="3"/>
  <c r="G67" i="3"/>
  <c r="H67" i="3"/>
  <c r="I67" i="3"/>
  <c r="J67" i="3"/>
  <c r="K67" i="3"/>
  <c r="L67" i="3"/>
  <c r="M67" i="3"/>
  <c r="Q94" i="3"/>
  <c r="D94" i="3"/>
  <c r="Y94" i="3"/>
  <c r="E94" i="3"/>
  <c r="F94" i="3"/>
  <c r="G94" i="3"/>
  <c r="H94" i="3"/>
  <c r="I94" i="3"/>
  <c r="J94" i="3"/>
  <c r="K94" i="3"/>
  <c r="L94" i="3"/>
  <c r="M94" i="3"/>
  <c r="Q51" i="3"/>
  <c r="D51" i="3"/>
  <c r="Y51" i="3"/>
  <c r="E51" i="3"/>
  <c r="F51" i="3"/>
  <c r="G51" i="3"/>
  <c r="H51" i="3"/>
  <c r="I51" i="3"/>
  <c r="J51" i="3"/>
  <c r="K51" i="3"/>
  <c r="L51" i="3"/>
  <c r="M51" i="3"/>
  <c r="Q66" i="3"/>
  <c r="D66" i="3"/>
  <c r="Y66" i="3"/>
  <c r="E66" i="3"/>
  <c r="F66" i="3"/>
  <c r="G66" i="3"/>
  <c r="H66" i="3"/>
  <c r="I66" i="3"/>
  <c r="J66" i="3"/>
  <c r="K66" i="3"/>
  <c r="L66" i="3"/>
  <c r="M66" i="3"/>
  <c r="Q46" i="3"/>
  <c r="D46" i="3"/>
  <c r="Y46" i="3"/>
  <c r="E46" i="3"/>
  <c r="F46" i="3"/>
  <c r="G46" i="3"/>
  <c r="H46" i="3"/>
  <c r="I46" i="3"/>
  <c r="J46" i="3"/>
  <c r="K46" i="3"/>
  <c r="L46" i="3"/>
  <c r="M46" i="3"/>
  <c r="Q60" i="3"/>
  <c r="D60" i="3"/>
  <c r="Y60" i="3"/>
  <c r="E60" i="3"/>
  <c r="F60" i="3"/>
  <c r="G60" i="3"/>
  <c r="H60" i="3"/>
  <c r="I60" i="3"/>
  <c r="J60" i="3"/>
  <c r="K60" i="3"/>
  <c r="L60" i="3"/>
  <c r="M60" i="3"/>
  <c r="Q76" i="3"/>
  <c r="D76" i="3"/>
  <c r="Y76" i="3"/>
  <c r="E76" i="3"/>
  <c r="F76" i="3"/>
  <c r="G76" i="3"/>
  <c r="H76" i="3"/>
  <c r="I76" i="3"/>
  <c r="J76" i="3"/>
  <c r="K76" i="3"/>
  <c r="L76" i="3"/>
  <c r="M76" i="3"/>
  <c r="Q75" i="3"/>
  <c r="D75" i="3"/>
  <c r="Y75" i="3"/>
  <c r="E75" i="3"/>
  <c r="F75" i="3"/>
  <c r="G75" i="3"/>
  <c r="H75" i="3"/>
  <c r="I75" i="3"/>
  <c r="J75" i="3"/>
  <c r="K75" i="3"/>
  <c r="L75" i="3"/>
  <c r="M75" i="3"/>
  <c r="Q110" i="3"/>
  <c r="D110" i="3"/>
  <c r="Y110" i="3"/>
  <c r="E110" i="3"/>
  <c r="F110" i="3"/>
  <c r="G110" i="3"/>
  <c r="H110" i="3"/>
  <c r="I110" i="3"/>
  <c r="J110" i="3"/>
  <c r="K110" i="3"/>
  <c r="L110" i="3"/>
  <c r="M110" i="3"/>
  <c r="Q61" i="3"/>
  <c r="D61" i="3"/>
  <c r="Y61" i="3"/>
  <c r="E61" i="3"/>
  <c r="F61" i="3"/>
  <c r="G61" i="3"/>
  <c r="H61" i="3"/>
  <c r="I61" i="3"/>
  <c r="J61" i="3"/>
  <c r="K61" i="3"/>
  <c r="L61" i="3"/>
  <c r="M61" i="3"/>
  <c r="Q38" i="3"/>
  <c r="D38" i="3"/>
  <c r="Y38" i="3"/>
  <c r="E38" i="3"/>
  <c r="F38" i="3"/>
  <c r="G38" i="3"/>
  <c r="H38" i="3"/>
  <c r="I38" i="3"/>
  <c r="J38" i="3"/>
  <c r="K38" i="3"/>
  <c r="L38" i="3"/>
  <c r="M38" i="3"/>
  <c r="Q55" i="3"/>
  <c r="D55" i="3"/>
  <c r="Y55" i="3"/>
  <c r="E55" i="3"/>
  <c r="F55" i="3"/>
  <c r="G55" i="3"/>
  <c r="H55" i="3"/>
  <c r="I55" i="3"/>
  <c r="J55" i="3"/>
  <c r="K55" i="3"/>
  <c r="L55" i="3"/>
  <c r="M55" i="3"/>
  <c r="Q70" i="3"/>
  <c r="D70" i="3"/>
  <c r="Y70" i="3"/>
  <c r="E70" i="3"/>
  <c r="F70" i="3"/>
  <c r="G70" i="3"/>
  <c r="H70" i="3"/>
  <c r="I70" i="3"/>
  <c r="J70" i="3"/>
  <c r="K70" i="3"/>
  <c r="L70" i="3"/>
  <c r="M70" i="3"/>
  <c r="Q53" i="3"/>
  <c r="D53" i="3"/>
  <c r="Y53" i="3"/>
  <c r="E53" i="3"/>
  <c r="F53" i="3"/>
  <c r="G53" i="3"/>
  <c r="H53" i="3"/>
  <c r="I53" i="3"/>
  <c r="J53" i="3"/>
  <c r="K53" i="3"/>
  <c r="L53" i="3"/>
  <c r="M53" i="3"/>
  <c r="Q81" i="3"/>
  <c r="D81" i="3"/>
  <c r="Y81" i="3"/>
  <c r="E81" i="3"/>
  <c r="F81" i="3"/>
  <c r="G81" i="3"/>
  <c r="H81" i="3"/>
  <c r="I81" i="3"/>
  <c r="J81" i="3"/>
  <c r="K81" i="3"/>
  <c r="L81" i="3"/>
  <c r="M81" i="3"/>
  <c r="Q68" i="3"/>
  <c r="D68" i="3"/>
  <c r="Y68" i="3"/>
  <c r="E68" i="3"/>
  <c r="F68" i="3"/>
  <c r="G68" i="3"/>
  <c r="H68" i="3"/>
  <c r="I68" i="3"/>
  <c r="J68" i="3"/>
  <c r="K68" i="3"/>
  <c r="L68" i="3"/>
  <c r="M68" i="3"/>
  <c r="Q62" i="3"/>
  <c r="D62" i="3"/>
  <c r="Y62" i="3"/>
  <c r="E62" i="3"/>
  <c r="F62" i="3"/>
  <c r="G62" i="3"/>
  <c r="H62" i="3"/>
  <c r="I62" i="3"/>
  <c r="J62" i="3"/>
  <c r="K62" i="3"/>
  <c r="L62" i="3"/>
  <c r="M62" i="3"/>
  <c r="Q74" i="3"/>
  <c r="D74" i="3"/>
  <c r="Y74" i="3"/>
  <c r="E74" i="3"/>
  <c r="F74" i="3"/>
  <c r="G74" i="3"/>
  <c r="H74" i="3"/>
  <c r="I74" i="3"/>
  <c r="J74" i="3"/>
  <c r="K74" i="3"/>
  <c r="L74" i="3"/>
  <c r="M74" i="3"/>
  <c r="Q57" i="3"/>
  <c r="D57" i="3"/>
  <c r="Y57" i="3"/>
  <c r="E57" i="3"/>
  <c r="F57" i="3"/>
  <c r="G57" i="3"/>
  <c r="H57" i="3"/>
  <c r="I57" i="3"/>
  <c r="J57" i="3"/>
  <c r="K57" i="3"/>
  <c r="L57" i="3"/>
  <c r="M57" i="3"/>
  <c r="Q72" i="3"/>
  <c r="D72" i="3"/>
  <c r="Y72" i="3"/>
  <c r="E72" i="3"/>
  <c r="F72" i="3"/>
  <c r="G72" i="3"/>
  <c r="H72" i="3"/>
  <c r="I72" i="3"/>
  <c r="J72" i="3"/>
  <c r="K72" i="3"/>
  <c r="L72" i="3"/>
  <c r="M72" i="3"/>
  <c r="Q79" i="3"/>
  <c r="D79" i="3"/>
  <c r="Y79" i="3"/>
  <c r="E79" i="3"/>
  <c r="F79" i="3"/>
  <c r="G79" i="3"/>
  <c r="H79" i="3"/>
  <c r="I79" i="3"/>
  <c r="J79" i="3"/>
  <c r="K79" i="3"/>
  <c r="L79" i="3"/>
  <c r="M79" i="3"/>
  <c r="Q58" i="3"/>
  <c r="D58" i="3"/>
  <c r="Y58" i="3"/>
  <c r="E58" i="3"/>
  <c r="F58" i="3"/>
  <c r="G58" i="3"/>
  <c r="H58" i="3"/>
  <c r="I58" i="3"/>
  <c r="J58" i="3"/>
  <c r="K58" i="3"/>
  <c r="L58" i="3"/>
  <c r="M58" i="3"/>
  <c r="Q83" i="3"/>
  <c r="D83" i="3"/>
  <c r="Y83" i="3"/>
  <c r="E83" i="3"/>
  <c r="F83" i="3"/>
  <c r="G83" i="3"/>
  <c r="H83" i="3"/>
  <c r="I83" i="3"/>
  <c r="J83" i="3"/>
  <c r="K83" i="3"/>
  <c r="L83" i="3"/>
  <c r="M83" i="3"/>
  <c r="Q69" i="3"/>
  <c r="D69" i="3"/>
  <c r="Y69" i="3"/>
  <c r="E69" i="3"/>
  <c r="F69" i="3"/>
  <c r="G69" i="3"/>
  <c r="H69" i="3"/>
  <c r="I69" i="3"/>
  <c r="J69" i="3"/>
  <c r="K69" i="3"/>
  <c r="L69" i="3"/>
  <c r="M69" i="3"/>
  <c r="Q87" i="3"/>
  <c r="D87" i="3"/>
  <c r="Y87" i="3"/>
  <c r="E87" i="3"/>
  <c r="F87" i="3"/>
  <c r="G87" i="3"/>
  <c r="H87" i="3"/>
  <c r="I87" i="3"/>
  <c r="J87" i="3"/>
  <c r="K87" i="3"/>
  <c r="L87" i="3"/>
  <c r="M87" i="3"/>
  <c r="Q73" i="3"/>
  <c r="D73" i="3"/>
  <c r="Y73" i="3"/>
  <c r="E73" i="3"/>
  <c r="F73" i="3"/>
  <c r="G73" i="3"/>
  <c r="H73" i="3"/>
  <c r="I73" i="3"/>
  <c r="J73" i="3"/>
  <c r="K73" i="3"/>
  <c r="L73" i="3"/>
  <c r="M73" i="3"/>
  <c r="Q86" i="3"/>
  <c r="D86" i="3"/>
  <c r="Y86" i="3"/>
  <c r="E86" i="3"/>
  <c r="F86" i="3"/>
  <c r="G86" i="3"/>
  <c r="H86" i="3"/>
  <c r="I86" i="3"/>
  <c r="J86" i="3"/>
  <c r="K86" i="3"/>
  <c r="L86" i="3"/>
  <c r="M86" i="3"/>
  <c r="Q90" i="3"/>
  <c r="D90" i="3"/>
  <c r="Y90" i="3"/>
  <c r="E90" i="3"/>
  <c r="F90" i="3"/>
  <c r="G90" i="3"/>
  <c r="H90" i="3"/>
  <c r="I90" i="3"/>
  <c r="J90" i="3"/>
  <c r="K90" i="3"/>
  <c r="L90" i="3"/>
  <c r="M90" i="3"/>
  <c r="Q71" i="3"/>
  <c r="D71" i="3"/>
  <c r="Y71" i="3"/>
  <c r="E71" i="3"/>
  <c r="F71" i="3"/>
  <c r="G71" i="3"/>
  <c r="H71" i="3"/>
  <c r="I71" i="3"/>
  <c r="J71" i="3"/>
  <c r="K71" i="3"/>
  <c r="L71" i="3"/>
  <c r="M71" i="3"/>
  <c r="Q89" i="3"/>
  <c r="D89" i="3"/>
  <c r="Y89" i="3"/>
  <c r="E89" i="3"/>
  <c r="F89" i="3"/>
  <c r="G89" i="3"/>
  <c r="H89" i="3"/>
  <c r="I89" i="3"/>
  <c r="J89" i="3"/>
  <c r="K89" i="3"/>
  <c r="L89" i="3"/>
  <c r="M89" i="3"/>
  <c r="Q78" i="3"/>
  <c r="D78" i="3"/>
  <c r="Y78" i="3"/>
  <c r="E78" i="3"/>
  <c r="F78" i="3"/>
  <c r="G78" i="3"/>
  <c r="H78" i="3"/>
  <c r="I78" i="3"/>
  <c r="J78" i="3"/>
  <c r="K78" i="3"/>
  <c r="L78" i="3"/>
  <c r="M78" i="3"/>
  <c r="Q92" i="3"/>
  <c r="D92" i="3"/>
  <c r="Y92" i="3"/>
  <c r="E92" i="3"/>
  <c r="F92" i="3"/>
  <c r="G92" i="3"/>
  <c r="H92" i="3"/>
  <c r="I92" i="3"/>
  <c r="J92" i="3"/>
  <c r="K92" i="3"/>
  <c r="L92" i="3"/>
  <c r="M92" i="3"/>
  <c r="Q91" i="3"/>
  <c r="D91" i="3"/>
  <c r="Y91" i="3"/>
  <c r="E91" i="3"/>
  <c r="F91" i="3"/>
  <c r="G91" i="3"/>
  <c r="H91" i="3"/>
  <c r="I91" i="3"/>
  <c r="J91" i="3"/>
  <c r="K91" i="3"/>
  <c r="L91" i="3"/>
  <c r="M91" i="3"/>
  <c r="Q85" i="3"/>
  <c r="D85" i="3"/>
  <c r="Y85" i="3"/>
  <c r="E85" i="3"/>
  <c r="F85" i="3"/>
  <c r="G85" i="3"/>
  <c r="H85" i="3"/>
  <c r="I85" i="3"/>
  <c r="J85" i="3"/>
  <c r="K85" i="3"/>
  <c r="L85" i="3"/>
  <c r="M85" i="3"/>
  <c r="Q80" i="3"/>
  <c r="D80" i="3"/>
  <c r="Y80" i="3"/>
  <c r="E80" i="3"/>
  <c r="F80" i="3"/>
  <c r="G80" i="3"/>
  <c r="H80" i="3"/>
  <c r="I80" i="3"/>
  <c r="J80" i="3"/>
  <c r="K80" i="3"/>
  <c r="L80" i="3"/>
  <c r="M80" i="3"/>
  <c r="Q95" i="3"/>
  <c r="D95" i="3"/>
  <c r="Y95" i="3"/>
  <c r="E95" i="3"/>
  <c r="F95" i="3"/>
  <c r="G95" i="3"/>
  <c r="H95" i="3"/>
  <c r="I95" i="3"/>
  <c r="J95" i="3"/>
  <c r="K95" i="3"/>
  <c r="L95" i="3"/>
  <c r="M95" i="3"/>
  <c r="Q88" i="3"/>
  <c r="D88" i="3"/>
  <c r="Y88" i="3"/>
  <c r="E88" i="3"/>
  <c r="F88" i="3"/>
  <c r="G88" i="3"/>
  <c r="H88" i="3"/>
  <c r="I88" i="3"/>
  <c r="J88" i="3"/>
  <c r="K88" i="3"/>
  <c r="L88" i="3"/>
  <c r="M88" i="3"/>
  <c r="Q84" i="3"/>
  <c r="D84" i="3"/>
  <c r="Y84" i="3"/>
  <c r="E84" i="3"/>
  <c r="F84" i="3"/>
  <c r="G84" i="3"/>
  <c r="H84" i="3"/>
  <c r="I84" i="3"/>
  <c r="J84" i="3"/>
  <c r="K84" i="3"/>
  <c r="L84" i="3"/>
  <c r="M84" i="3"/>
  <c r="Q93" i="3"/>
  <c r="D93" i="3"/>
  <c r="Y93" i="3"/>
  <c r="E93" i="3"/>
  <c r="F93" i="3"/>
  <c r="G93" i="3"/>
  <c r="H93" i="3"/>
  <c r="I93" i="3"/>
  <c r="J93" i="3"/>
  <c r="K93" i="3"/>
  <c r="L93" i="3"/>
  <c r="M93" i="3"/>
  <c r="Q96" i="3"/>
  <c r="D96" i="3"/>
  <c r="Y96" i="3"/>
  <c r="E96" i="3"/>
  <c r="F96" i="3"/>
  <c r="G96" i="3"/>
  <c r="H96" i="3"/>
  <c r="I96" i="3"/>
  <c r="J96" i="3"/>
  <c r="K96" i="3"/>
  <c r="L96" i="3"/>
  <c r="M96" i="3"/>
  <c r="Q97" i="3"/>
  <c r="D97" i="3"/>
  <c r="Y97" i="3"/>
  <c r="E97" i="3"/>
  <c r="F97" i="3"/>
  <c r="G97" i="3"/>
  <c r="H97" i="3"/>
  <c r="I97" i="3"/>
  <c r="J97" i="3"/>
  <c r="K97" i="3"/>
  <c r="L97" i="3"/>
  <c r="M97" i="3"/>
  <c r="Q104" i="3"/>
  <c r="D104" i="3"/>
  <c r="Y104" i="3"/>
  <c r="E104" i="3"/>
  <c r="F104" i="3"/>
  <c r="G104" i="3"/>
  <c r="H104" i="3"/>
  <c r="I104" i="3"/>
  <c r="J104" i="3"/>
  <c r="K104" i="3"/>
  <c r="L104" i="3"/>
  <c r="M104" i="3"/>
  <c r="Q101" i="3"/>
  <c r="D101" i="3"/>
  <c r="Y101" i="3"/>
  <c r="E101" i="3"/>
  <c r="F101" i="3"/>
  <c r="G101" i="3"/>
  <c r="H101" i="3"/>
  <c r="I101" i="3"/>
  <c r="J101" i="3"/>
  <c r="K101" i="3"/>
  <c r="L101" i="3"/>
  <c r="M101" i="3"/>
  <c r="Q102" i="3"/>
  <c r="D102" i="3"/>
  <c r="Y102" i="3"/>
  <c r="E102" i="3"/>
  <c r="F102" i="3"/>
  <c r="G102" i="3"/>
  <c r="H102" i="3"/>
  <c r="I102" i="3"/>
  <c r="J102" i="3"/>
  <c r="K102" i="3"/>
  <c r="L102" i="3"/>
  <c r="M102" i="3"/>
  <c r="Q98" i="3"/>
  <c r="D98" i="3"/>
  <c r="Y98" i="3"/>
  <c r="E98" i="3"/>
  <c r="F98" i="3"/>
  <c r="G98" i="3"/>
  <c r="H98" i="3"/>
  <c r="I98" i="3"/>
  <c r="J98" i="3"/>
  <c r="K98" i="3"/>
  <c r="L98" i="3"/>
  <c r="M98" i="3"/>
  <c r="Q106" i="3"/>
  <c r="D106" i="3"/>
  <c r="Y106" i="3"/>
  <c r="E106" i="3"/>
  <c r="F106" i="3"/>
  <c r="G106" i="3"/>
  <c r="H106" i="3"/>
  <c r="I106" i="3"/>
  <c r="J106" i="3"/>
  <c r="K106" i="3"/>
  <c r="L106" i="3"/>
  <c r="M106" i="3"/>
  <c r="Q108" i="3"/>
  <c r="D108" i="3"/>
  <c r="Y108" i="3"/>
  <c r="E108" i="3"/>
  <c r="F108" i="3"/>
  <c r="G108" i="3"/>
  <c r="H108" i="3"/>
  <c r="I108" i="3"/>
  <c r="J108" i="3"/>
  <c r="K108" i="3"/>
  <c r="L108" i="3"/>
  <c r="M108" i="3"/>
  <c r="Q105" i="3"/>
  <c r="D105" i="3"/>
  <c r="Y105" i="3"/>
  <c r="E105" i="3"/>
  <c r="F105" i="3"/>
  <c r="G105" i="3"/>
  <c r="H105" i="3"/>
  <c r="I105" i="3"/>
  <c r="J105" i="3"/>
  <c r="K105" i="3"/>
  <c r="L105" i="3"/>
  <c r="M105" i="3"/>
  <c r="Q107" i="3"/>
  <c r="D107" i="3"/>
  <c r="Y107" i="3"/>
  <c r="E107" i="3"/>
  <c r="F107" i="3"/>
  <c r="G107" i="3"/>
  <c r="H107" i="3"/>
  <c r="I107" i="3"/>
  <c r="J107" i="3"/>
  <c r="K107" i="3"/>
  <c r="L107" i="3"/>
  <c r="M107" i="3"/>
  <c r="Q111" i="3"/>
  <c r="D111" i="3"/>
  <c r="Y111" i="3"/>
  <c r="E111" i="3"/>
  <c r="F111" i="3"/>
  <c r="G111" i="3"/>
  <c r="H111" i="3"/>
  <c r="I111" i="3"/>
  <c r="J111" i="3"/>
  <c r="K111" i="3"/>
  <c r="L111" i="3"/>
  <c r="M111" i="3"/>
  <c r="Q112" i="3"/>
  <c r="D112" i="3"/>
  <c r="Y112" i="3"/>
  <c r="E112" i="3"/>
  <c r="F112" i="3"/>
  <c r="G112" i="3"/>
  <c r="H112" i="3"/>
  <c r="I112" i="3"/>
  <c r="J112" i="3"/>
  <c r="K112" i="3"/>
  <c r="L112" i="3"/>
  <c r="M112" i="3"/>
  <c r="Q113" i="3"/>
  <c r="D113" i="3"/>
  <c r="Y113" i="3"/>
  <c r="E113" i="3"/>
  <c r="F113" i="3"/>
  <c r="G113" i="3"/>
  <c r="H113" i="3"/>
  <c r="I113" i="3"/>
  <c r="J113" i="3"/>
  <c r="K113" i="3"/>
  <c r="L113" i="3"/>
  <c r="M113" i="3"/>
  <c r="Q114" i="3"/>
  <c r="D114" i="3"/>
  <c r="Y114" i="3"/>
  <c r="E114" i="3"/>
  <c r="F114" i="3"/>
  <c r="G114" i="3"/>
  <c r="H114" i="3"/>
  <c r="I114" i="3"/>
  <c r="J114" i="3"/>
  <c r="K114" i="3"/>
  <c r="L114" i="3"/>
  <c r="M114" i="3"/>
  <c r="Q115" i="3"/>
  <c r="D115" i="3"/>
  <c r="Y115" i="3"/>
  <c r="E115" i="3"/>
  <c r="F115" i="3"/>
  <c r="G115" i="3"/>
  <c r="H115" i="3"/>
  <c r="I115" i="3"/>
  <c r="J115" i="3"/>
  <c r="K115" i="3"/>
  <c r="L115" i="3"/>
  <c r="M115" i="3"/>
  <c r="Q116" i="3"/>
  <c r="D116" i="3"/>
  <c r="Y116" i="3"/>
  <c r="E116" i="3"/>
  <c r="F116" i="3"/>
  <c r="G116" i="3"/>
  <c r="H116" i="3"/>
  <c r="I116" i="3"/>
  <c r="J116" i="3"/>
  <c r="K116" i="3"/>
  <c r="L116" i="3"/>
  <c r="M116" i="3"/>
  <c r="Q117" i="3"/>
  <c r="D117" i="3"/>
  <c r="Y117" i="3"/>
  <c r="E117" i="3"/>
  <c r="F117" i="3"/>
  <c r="G117" i="3"/>
  <c r="H117" i="3"/>
  <c r="I117" i="3"/>
  <c r="J117" i="3"/>
  <c r="K117" i="3"/>
  <c r="L117" i="3"/>
  <c r="M117" i="3"/>
  <c r="Q118" i="3"/>
  <c r="D118" i="3"/>
  <c r="Y118" i="3"/>
  <c r="E118" i="3"/>
  <c r="F118" i="3"/>
  <c r="G118" i="3"/>
  <c r="H118" i="3"/>
  <c r="I118" i="3"/>
  <c r="J118" i="3"/>
  <c r="K118" i="3"/>
  <c r="L118" i="3"/>
  <c r="M118" i="3"/>
  <c r="Q119" i="3"/>
  <c r="D119" i="3"/>
  <c r="Y119" i="3"/>
  <c r="E119" i="3"/>
  <c r="F119" i="3"/>
  <c r="G119" i="3"/>
  <c r="H119" i="3"/>
  <c r="I119" i="3"/>
  <c r="J119" i="3"/>
  <c r="K119" i="3"/>
  <c r="L119" i="3"/>
  <c r="M119" i="3"/>
  <c r="Q120" i="3"/>
  <c r="D120" i="3"/>
  <c r="Y120" i="3"/>
  <c r="E120" i="3"/>
  <c r="F120" i="3"/>
  <c r="G120" i="3"/>
  <c r="H120" i="3"/>
  <c r="I120" i="3"/>
  <c r="J120" i="3"/>
  <c r="K120" i="3"/>
  <c r="L120" i="3"/>
  <c r="M120" i="3"/>
  <c r="Q121" i="3"/>
  <c r="D121" i="3"/>
  <c r="Y121" i="3"/>
  <c r="E121" i="3"/>
  <c r="F121" i="3"/>
  <c r="G121" i="3"/>
  <c r="H121" i="3"/>
  <c r="I121" i="3"/>
  <c r="J121" i="3"/>
  <c r="K121" i="3"/>
  <c r="L121" i="3"/>
  <c r="M121" i="3"/>
  <c r="M123" i="3"/>
  <c r="L123" i="3"/>
  <c r="K123" i="3"/>
  <c r="J123" i="3"/>
  <c r="I123" i="3"/>
  <c r="H123" i="3"/>
  <c r="G123" i="3"/>
  <c r="F123" i="3"/>
  <c r="E123" i="3"/>
  <c r="D123" i="3"/>
  <c r="N42" i="3"/>
  <c r="O42" i="3"/>
  <c r="N2" i="3"/>
  <c r="O2" i="3"/>
  <c r="N5" i="3"/>
  <c r="O5" i="3"/>
  <c r="N7" i="3"/>
  <c r="O7" i="3"/>
  <c r="N64" i="3"/>
  <c r="O64" i="3"/>
  <c r="N82" i="3"/>
  <c r="O82" i="3"/>
  <c r="N6" i="3"/>
  <c r="O6" i="3"/>
  <c r="N44" i="3"/>
  <c r="O44" i="3"/>
  <c r="N14" i="3"/>
  <c r="O14" i="3"/>
  <c r="N3" i="3"/>
  <c r="O3" i="3"/>
  <c r="N12" i="3"/>
  <c r="O12" i="3"/>
  <c r="N4" i="3"/>
  <c r="O4" i="3"/>
  <c r="N8" i="3"/>
  <c r="O8" i="3"/>
  <c r="N18" i="3"/>
  <c r="O18" i="3"/>
  <c r="N11" i="3"/>
  <c r="O11" i="3"/>
  <c r="N16" i="3"/>
  <c r="O16" i="3"/>
  <c r="N99" i="3"/>
  <c r="O99" i="3"/>
  <c r="N28" i="3"/>
  <c r="O28" i="3"/>
  <c r="N25" i="3"/>
  <c r="O25" i="3"/>
  <c r="N24" i="3"/>
  <c r="O24" i="3"/>
  <c r="N9" i="3"/>
  <c r="O9" i="3"/>
  <c r="N21" i="3"/>
  <c r="O21" i="3"/>
  <c r="N27" i="3"/>
  <c r="O27" i="3"/>
  <c r="N15" i="3"/>
  <c r="O15" i="3"/>
  <c r="N10" i="3"/>
  <c r="O10" i="3"/>
  <c r="N43" i="3"/>
  <c r="O43" i="3"/>
  <c r="N31" i="3"/>
  <c r="O31" i="3"/>
  <c r="N103" i="3"/>
  <c r="O103" i="3"/>
  <c r="N49" i="3"/>
  <c r="O49" i="3"/>
  <c r="N29" i="3"/>
  <c r="O29" i="3"/>
  <c r="N59" i="3"/>
  <c r="O59" i="3"/>
  <c r="N20" i="3"/>
  <c r="O20" i="3"/>
  <c r="N22" i="3"/>
  <c r="O22" i="3"/>
  <c r="N52" i="3"/>
  <c r="O52" i="3"/>
  <c r="N37" i="3"/>
  <c r="O37" i="3"/>
  <c r="N23" i="3"/>
  <c r="O23" i="3"/>
  <c r="N33" i="3"/>
  <c r="O33" i="3"/>
  <c r="N54" i="3"/>
  <c r="O54" i="3"/>
  <c r="N26" i="3"/>
  <c r="O26" i="3"/>
  <c r="N13" i="3"/>
  <c r="O13" i="3"/>
  <c r="N30" i="3"/>
  <c r="O30" i="3"/>
  <c r="N17" i="3"/>
  <c r="O17" i="3"/>
  <c r="N41" i="3"/>
  <c r="O41" i="3"/>
  <c r="N50" i="3"/>
  <c r="O50" i="3"/>
  <c r="N100" i="3"/>
  <c r="O100" i="3"/>
  <c r="N32" i="3"/>
  <c r="O32" i="3"/>
  <c r="N19" i="3"/>
  <c r="O19" i="3"/>
  <c r="N35" i="3"/>
  <c r="O35" i="3"/>
  <c r="N56" i="3"/>
  <c r="O56" i="3"/>
  <c r="N39" i="3"/>
  <c r="O39" i="3"/>
  <c r="N48" i="3"/>
  <c r="O48" i="3"/>
  <c r="N47" i="3"/>
  <c r="O47" i="3"/>
  <c r="N45" i="3"/>
  <c r="O45" i="3"/>
  <c r="N109" i="3"/>
  <c r="O109" i="3"/>
  <c r="N77" i="3"/>
  <c r="O77" i="3"/>
  <c r="N36" i="3"/>
  <c r="O36" i="3"/>
  <c r="N65" i="3"/>
  <c r="O65" i="3"/>
  <c r="N40" i="3"/>
  <c r="O40" i="3"/>
  <c r="N34" i="3"/>
  <c r="O34" i="3"/>
  <c r="N63" i="3"/>
  <c r="O63" i="3"/>
  <c r="N67" i="3"/>
  <c r="O67" i="3"/>
  <c r="N94" i="3"/>
  <c r="O94" i="3"/>
  <c r="N51" i="3"/>
  <c r="O51" i="3"/>
  <c r="N66" i="3"/>
  <c r="O66" i="3"/>
  <c r="N46" i="3"/>
  <c r="O46" i="3"/>
  <c r="N60" i="3"/>
  <c r="O60" i="3"/>
  <c r="N76" i="3"/>
  <c r="O76" i="3"/>
  <c r="N75" i="3"/>
  <c r="O75" i="3"/>
  <c r="N110" i="3"/>
  <c r="O110" i="3"/>
  <c r="N61" i="3"/>
  <c r="O61" i="3"/>
  <c r="N38" i="3"/>
  <c r="O38" i="3"/>
  <c r="N55" i="3"/>
  <c r="O55" i="3"/>
  <c r="N70" i="3"/>
  <c r="O70" i="3"/>
  <c r="N53" i="3"/>
  <c r="O53" i="3"/>
  <c r="N81" i="3"/>
  <c r="O81" i="3"/>
  <c r="N68" i="3"/>
  <c r="O68" i="3"/>
  <c r="N62" i="3"/>
  <c r="O62" i="3"/>
  <c r="N74" i="3"/>
  <c r="O74" i="3"/>
  <c r="N57" i="3"/>
  <c r="O57" i="3"/>
  <c r="N72" i="3"/>
  <c r="O72" i="3"/>
  <c r="N79" i="3"/>
  <c r="O79" i="3"/>
  <c r="N58" i="3"/>
  <c r="O58" i="3"/>
  <c r="N83" i="3"/>
  <c r="O83" i="3"/>
  <c r="N69" i="3"/>
  <c r="O69" i="3"/>
  <c r="N87" i="3"/>
  <c r="O87" i="3"/>
  <c r="N73" i="3"/>
  <c r="O73" i="3"/>
  <c r="N86" i="3"/>
  <c r="O86" i="3"/>
  <c r="N90" i="3"/>
  <c r="O90" i="3"/>
  <c r="N71" i="3"/>
  <c r="O71" i="3"/>
  <c r="N89" i="3"/>
  <c r="O89" i="3"/>
  <c r="N78" i="3"/>
  <c r="O78" i="3"/>
  <c r="N92" i="3"/>
  <c r="O92" i="3"/>
  <c r="N91" i="3"/>
  <c r="O91" i="3"/>
  <c r="N85" i="3"/>
  <c r="O85" i="3"/>
  <c r="N80" i="3"/>
  <c r="O80" i="3"/>
  <c r="N95" i="3"/>
  <c r="O95" i="3"/>
  <c r="N88" i="3"/>
  <c r="O88" i="3"/>
  <c r="N84" i="3"/>
  <c r="O84" i="3"/>
  <c r="N93" i="3"/>
  <c r="O93" i="3"/>
  <c r="N96" i="3"/>
  <c r="O96" i="3"/>
  <c r="N97" i="3"/>
  <c r="O97" i="3"/>
  <c r="N104" i="3"/>
  <c r="O104" i="3"/>
  <c r="N101" i="3"/>
  <c r="O101" i="3"/>
  <c r="N102" i="3"/>
  <c r="O102" i="3"/>
  <c r="N98" i="3"/>
  <c r="O98" i="3"/>
  <c r="N106" i="3"/>
  <c r="O106" i="3"/>
  <c r="N108" i="3"/>
  <c r="O108" i="3"/>
  <c r="N105" i="3"/>
  <c r="O105" i="3"/>
  <c r="N107" i="3"/>
  <c r="O107" i="3"/>
  <c r="N111" i="3"/>
  <c r="O111" i="3"/>
  <c r="N112" i="3"/>
  <c r="O112" i="3"/>
  <c r="N113" i="3"/>
  <c r="O113" i="3"/>
  <c r="N114" i="3"/>
  <c r="O114" i="3"/>
  <c r="N115" i="3"/>
  <c r="O115" i="3"/>
  <c r="N116" i="3"/>
  <c r="O116" i="3"/>
  <c r="N117" i="3"/>
  <c r="O117" i="3"/>
  <c r="N118" i="3"/>
  <c r="O118" i="3"/>
  <c r="N119" i="3"/>
  <c r="O119" i="3"/>
  <c r="N120" i="3"/>
  <c r="O120" i="3"/>
  <c r="N121" i="3"/>
  <c r="O121" i="3"/>
  <c r="O123" i="3"/>
  <c r="N123" i="3"/>
  <c r="Q191" i="2"/>
  <c r="D191" i="2"/>
  <c r="Z191" i="2"/>
  <c r="E191" i="2"/>
  <c r="G191" i="2"/>
  <c r="H191" i="2"/>
  <c r="K191" i="2"/>
  <c r="L191" i="2"/>
  <c r="F191" i="2"/>
  <c r="I191" i="2"/>
  <c r="J191" i="2"/>
  <c r="M191" i="2"/>
  <c r="N191" i="2"/>
  <c r="Q189" i="2"/>
  <c r="D189" i="2"/>
  <c r="Z189" i="2"/>
  <c r="E189" i="2"/>
  <c r="G189" i="2"/>
  <c r="H189" i="2"/>
  <c r="K189" i="2"/>
  <c r="L189" i="2"/>
  <c r="F189" i="2"/>
  <c r="I189" i="2"/>
  <c r="J189" i="2"/>
  <c r="M189" i="2"/>
  <c r="N189" i="2"/>
  <c r="Q188" i="2"/>
  <c r="D188" i="2"/>
  <c r="Z188" i="2"/>
  <c r="E188" i="2"/>
  <c r="G188" i="2"/>
  <c r="H188" i="2"/>
  <c r="K188" i="2"/>
  <c r="L188" i="2"/>
  <c r="F188" i="2"/>
  <c r="I188" i="2"/>
  <c r="J188" i="2"/>
  <c r="M188" i="2"/>
  <c r="N188" i="2"/>
  <c r="Q187" i="2"/>
  <c r="D187" i="2"/>
  <c r="Z187" i="2"/>
  <c r="E187" i="2"/>
  <c r="G187" i="2"/>
  <c r="H187" i="2"/>
  <c r="K187" i="2"/>
  <c r="L187" i="2"/>
  <c r="F187" i="2"/>
  <c r="I187" i="2"/>
  <c r="J187" i="2"/>
  <c r="M187" i="2"/>
  <c r="N187" i="2"/>
  <c r="Q186" i="2"/>
  <c r="D186" i="2"/>
  <c r="Z186" i="2"/>
  <c r="E186" i="2"/>
  <c r="G186" i="2"/>
  <c r="H186" i="2"/>
  <c r="K186" i="2"/>
  <c r="L186" i="2"/>
  <c r="F186" i="2"/>
  <c r="I186" i="2"/>
  <c r="J186" i="2"/>
  <c r="M186" i="2"/>
  <c r="N186" i="2"/>
  <c r="Q183" i="2"/>
  <c r="D183" i="2"/>
  <c r="Z183" i="2"/>
  <c r="E183" i="2"/>
  <c r="G183" i="2"/>
  <c r="H183" i="2"/>
  <c r="K183" i="2"/>
  <c r="L183" i="2"/>
  <c r="F183" i="2"/>
  <c r="I183" i="2"/>
  <c r="J183" i="2"/>
  <c r="M183" i="2"/>
  <c r="N183" i="2"/>
  <c r="Q182" i="2"/>
  <c r="D182" i="2"/>
  <c r="Z182" i="2"/>
  <c r="E182" i="2"/>
  <c r="G182" i="2"/>
  <c r="H182" i="2"/>
  <c r="K182" i="2"/>
  <c r="L182" i="2"/>
  <c r="F182" i="2"/>
  <c r="I182" i="2"/>
  <c r="J182" i="2"/>
  <c r="M182" i="2"/>
  <c r="N182" i="2"/>
  <c r="Q181" i="2"/>
  <c r="D181" i="2"/>
  <c r="Z181" i="2"/>
  <c r="E181" i="2"/>
  <c r="G181" i="2"/>
  <c r="H181" i="2"/>
  <c r="K181" i="2"/>
  <c r="L181" i="2"/>
  <c r="F181" i="2"/>
  <c r="I181" i="2"/>
  <c r="J181" i="2"/>
  <c r="M181" i="2"/>
  <c r="N181" i="2"/>
  <c r="Q180" i="2"/>
  <c r="D180" i="2"/>
  <c r="Z180" i="2"/>
  <c r="E180" i="2"/>
  <c r="G180" i="2"/>
  <c r="H180" i="2"/>
  <c r="K180" i="2"/>
  <c r="L180" i="2"/>
  <c r="F180" i="2"/>
  <c r="I180" i="2"/>
  <c r="J180" i="2"/>
  <c r="M180" i="2"/>
  <c r="N180" i="2"/>
  <c r="Q196" i="2"/>
  <c r="D196" i="2"/>
  <c r="Z196" i="2"/>
  <c r="E196" i="2"/>
  <c r="G196" i="2"/>
  <c r="H196" i="2"/>
  <c r="K196" i="2"/>
  <c r="L196" i="2"/>
  <c r="F196" i="2"/>
  <c r="I196" i="2"/>
  <c r="J196" i="2"/>
  <c r="M196" i="2"/>
  <c r="N196" i="2"/>
  <c r="Q195" i="2"/>
  <c r="D195" i="2"/>
  <c r="Z195" i="2"/>
  <c r="E195" i="2"/>
  <c r="G195" i="2"/>
  <c r="H195" i="2"/>
  <c r="K195" i="2"/>
  <c r="L195" i="2"/>
  <c r="F195" i="2"/>
  <c r="I195" i="2"/>
  <c r="J195" i="2"/>
  <c r="M195" i="2"/>
  <c r="N195" i="2"/>
  <c r="Q197" i="2"/>
  <c r="D197" i="2"/>
  <c r="Z197" i="2"/>
  <c r="E197" i="2"/>
  <c r="G197" i="2"/>
  <c r="H197" i="2"/>
  <c r="K197" i="2"/>
  <c r="L197" i="2"/>
  <c r="F197" i="2"/>
  <c r="I197" i="2"/>
  <c r="J197" i="2"/>
  <c r="M197" i="2"/>
  <c r="N197" i="2"/>
  <c r="Q198" i="2"/>
  <c r="D198" i="2"/>
  <c r="Z198" i="2"/>
  <c r="E198" i="2"/>
  <c r="G198" i="2"/>
  <c r="H198" i="2"/>
  <c r="K198" i="2"/>
  <c r="L198" i="2"/>
  <c r="F198" i="2"/>
  <c r="I198" i="2"/>
  <c r="J198" i="2"/>
  <c r="M198" i="2"/>
  <c r="N198" i="2"/>
  <c r="Q199" i="2"/>
  <c r="D199" i="2"/>
  <c r="Z199" i="2"/>
  <c r="E199" i="2"/>
  <c r="G199" i="2"/>
  <c r="H199" i="2"/>
  <c r="K199" i="2"/>
  <c r="L199" i="2"/>
  <c r="F199" i="2"/>
  <c r="I199" i="2"/>
  <c r="J199" i="2"/>
  <c r="M199" i="2"/>
  <c r="N199" i="2"/>
  <c r="Q202" i="2"/>
  <c r="D202" i="2"/>
  <c r="Z202" i="2"/>
  <c r="E202" i="2"/>
  <c r="G202" i="2"/>
  <c r="H202" i="2"/>
  <c r="K202" i="2"/>
  <c r="L202" i="2"/>
  <c r="F202" i="2"/>
  <c r="I202" i="2"/>
  <c r="J202" i="2"/>
  <c r="M202" i="2"/>
  <c r="N202" i="2"/>
  <c r="Q201" i="2"/>
  <c r="D201" i="2"/>
  <c r="Z201" i="2"/>
  <c r="H201" i="2"/>
  <c r="J201" i="2"/>
  <c r="E201" i="2"/>
  <c r="G201" i="2"/>
  <c r="K201" i="2"/>
  <c r="L201" i="2"/>
  <c r="F201" i="2"/>
  <c r="I201" i="2"/>
  <c r="M201" i="2"/>
  <c r="N201" i="2"/>
  <c r="Q200" i="2"/>
  <c r="D200" i="2"/>
  <c r="Z200" i="2"/>
  <c r="E200" i="2"/>
  <c r="G200" i="2"/>
  <c r="H200" i="2"/>
  <c r="K200" i="2"/>
  <c r="L200" i="2"/>
  <c r="F200" i="2"/>
  <c r="I200" i="2"/>
  <c r="J200" i="2"/>
  <c r="M200" i="2"/>
  <c r="N200" i="2"/>
  <c r="Q203" i="2"/>
  <c r="D203" i="2"/>
  <c r="Z203" i="2"/>
  <c r="E203" i="2"/>
  <c r="G203" i="2"/>
  <c r="H203" i="2"/>
  <c r="K203" i="2"/>
  <c r="L203" i="2"/>
  <c r="F203" i="2"/>
  <c r="I203" i="2"/>
  <c r="J203" i="2"/>
  <c r="M203" i="2"/>
  <c r="N203" i="2"/>
  <c r="O203" i="2"/>
  <c r="Q194" i="2"/>
  <c r="D194" i="2"/>
  <c r="Z194" i="2"/>
  <c r="E194" i="2"/>
  <c r="G194" i="2"/>
  <c r="H194" i="2"/>
  <c r="K194" i="2"/>
  <c r="L194" i="2"/>
  <c r="F194" i="2"/>
  <c r="I194" i="2"/>
  <c r="J194" i="2"/>
  <c r="M194" i="2"/>
  <c r="N194" i="2"/>
  <c r="O194" i="2"/>
  <c r="O201" i="2"/>
  <c r="O200" i="2"/>
  <c r="O202" i="2"/>
  <c r="O199" i="2"/>
  <c r="O198" i="2"/>
  <c r="O197" i="2"/>
  <c r="O196" i="2"/>
  <c r="O195" i="2"/>
  <c r="O191" i="2"/>
  <c r="O189" i="2"/>
  <c r="O188" i="2"/>
  <c r="O187" i="2"/>
  <c r="O186" i="2"/>
  <c r="O183" i="2"/>
  <c r="O182" i="2"/>
  <c r="O181" i="2"/>
  <c r="O180" i="2"/>
  <c r="Q179" i="2"/>
  <c r="D179" i="2"/>
  <c r="Z179" i="2"/>
  <c r="E179" i="2"/>
  <c r="G179" i="2"/>
  <c r="H179" i="2"/>
  <c r="K179" i="2"/>
  <c r="L179" i="2"/>
  <c r="F179" i="2"/>
  <c r="I179" i="2"/>
  <c r="J179" i="2"/>
  <c r="M179" i="2"/>
  <c r="N179" i="2"/>
  <c r="O179" i="2"/>
  <c r="Q177" i="2"/>
  <c r="D177" i="2"/>
  <c r="Z177" i="2"/>
  <c r="E177" i="2"/>
  <c r="F177" i="2"/>
  <c r="G177" i="2"/>
  <c r="H177" i="2"/>
  <c r="I177" i="2"/>
  <c r="J177" i="2"/>
  <c r="K177" i="2"/>
  <c r="L177" i="2"/>
  <c r="M177" i="2"/>
  <c r="N177" i="2"/>
  <c r="Q176" i="2"/>
  <c r="D176" i="2"/>
  <c r="Z176" i="2"/>
  <c r="E176" i="2"/>
  <c r="F176" i="2"/>
  <c r="G176" i="2"/>
  <c r="H176" i="2"/>
  <c r="I176" i="2"/>
  <c r="J176" i="2"/>
  <c r="K176" i="2"/>
  <c r="L176" i="2"/>
  <c r="M176" i="2"/>
  <c r="N176" i="2"/>
  <c r="Q175" i="2"/>
  <c r="D175" i="2"/>
  <c r="Z175" i="2"/>
  <c r="E175" i="2"/>
  <c r="F175" i="2"/>
  <c r="G175" i="2"/>
  <c r="H175" i="2"/>
  <c r="I175" i="2"/>
  <c r="J175" i="2"/>
  <c r="K175" i="2"/>
  <c r="L175" i="2"/>
  <c r="M175" i="2"/>
  <c r="N175" i="2"/>
  <c r="Q174" i="2"/>
  <c r="D174" i="2"/>
  <c r="Z174" i="2"/>
  <c r="E174" i="2"/>
  <c r="F174" i="2"/>
  <c r="G174" i="2"/>
  <c r="H174" i="2"/>
  <c r="I174" i="2"/>
  <c r="J174" i="2"/>
  <c r="K174" i="2"/>
  <c r="L174" i="2"/>
  <c r="M174" i="2"/>
  <c r="N174" i="2"/>
  <c r="Q172" i="2"/>
  <c r="D172" i="2"/>
  <c r="Z172" i="2"/>
  <c r="E172" i="2"/>
  <c r="F172" i="2"/>
  <c r="G172" i="2"/>
  <c r="H172" i="2"/>
  <c r="I172" i="2"/>
  <c r="J172" i="2"/>
  <c r="K172" i="2"/>
  <c r="L172" i="2"/>
  <c r="M172" i="2"/>
  <c r="N172" i="2"/>
  <c r="Q171" i="2"/>
  <c r="D171" i="2"/>
  <c r="Z171" i="2"/>
  <c r="E171" i="2"/>
  <c r="F171" i="2"/>
  <c r="G171" i="2"/>
  <c r="H171" i="2"/>
  <c r="I171" i="2"/>
  <c r="J171" i="2"/>
  <c r="K171" i="2"/>
  <c r="L171" i="2"/>
  <c r="M171" i="2"/>
  <c r="N171" i="2"/>
  <c r="Q173" i="2"/>
  <c r="D173" i="2"/>
  <c r="Z173" i="2"/>
  <c r="E173" i="2"/>
  <c r="F173" i="2"/>
  <c r="G173" i="2"/>
  <c r="H173" i="2"/>
  <c r="I173" i="2"/>
  <c r="J173" i="2"/>
  <c r="K173" i="2"/>
  <c r="L173" i="2"/>
  <c r="M173" i="2"/>
  <c r="N173" i="2"/>
  <c r="Q169" i="2"/>
  <c r="D169" i="2"/>
  <c r="Z169" i="2"/>
  <c r="H169" i="2"/>
  <c r="J169" i="2"/>
  <c r="E169" i="2"/>
  <c r="G169" i="2"/>
  <c r="K169" i="2"/>
  <c r="L169" i="2"/>
  <c r="F169" i="2"/>
  <c r="I169" i="2"/>
  <c r="M169" i="2"/>
  <c r="N169" i="2"/>
  <c r="Q168" i="2"/>
  <c r="D168" i="2"/>
  <c r="Z168" i="2"/>
  <c r="H168" i="2"/>
  <c r="J168" i="2"/>
  <c r="E168" i="2"/>
  <c r="G168" i="2"/>
  <c r="K168" i="2"/>
  <c r="L168" i="2"/>
  <c r="F168" i="2"/>
  <c r="I168" i="2"/>
  <c r="M168" i="2"/>
  <c r="N168" i="2"/>
  <c r="Q167" i="2"/>
  <c r="D167" i="2"/>
  <c r="Z167" i="2"/>
  <c r="H167" i="2"/>
  <c r="J167" i="2"/>
  <c r="E167" i="2"/>
  <c r="G167" i="2"/>
  <c r="K167" i="2"/>
  <c r="L167" i="2"/>
  <c r="F167" i="2"/>
  <c r="I167" i="2"/>
  <c r="M167" i="2"/>
  <c r="N167" i="2"/>
  <c r="O177" i="2"/>
  <c r="O176" i="2"/>
  <c r="O175" i="2"/>
  <c r="O174" i="2"/>
  <c r="O172" i="2"/>
  <c r="O171" i="2"/>
  <c r="O173" i="2"/>
  <c r="O168" i="2"/>
  <c r="O169" i="2"/>
  <c r="O167" i="2"/>
  <c r="Q166" i="2"/>
  <c r="D166" i="2"/>
  <c r="Z166" i="2"/>
  <c r="E166" i="2"/>
  <c r="G166" i="2"/>
  <c r="H166" i="2"/>
  <c r="K166" i="2"/>
  <c r="L166" i="2"/>
  <c r="F166" i="2"/>
  <c r="I166" i="2"/>
  <c r="J166" i="2"/>
  <c r="M166" i="2"/>
  <c r="N166" i="2"/>
  <c r="Q165" i="2"/>
  <c r="D165" i="2"/>
  <c r="Z165" i="2"/>
  <c r="E165" i="2"/>
  <c r="G165" i="2"/>
  <c r="H165" i="2"/>
  <c r="K165" i="2"/>
  <c r="L165" i="2"/>
  <c r="F165" i="2"/>
  <c r="I165" i="2"/>
  <c r="J165" i="2"/>
  <c r="M165" i="2"/>
  <c r="N165" i="2"/>
  <c r="Q163" i="2"/>
  <c r="D163" i="2"/>
  <c r="Z163" i="2"/>
  <c r="E163" i="2"/>
  <c r="G163" i="2"/>
  <c r="H163" i="2"/>
  <c r="K163" i="2"/>
  <c r="L163" i="2"/>
  <c r="F163" i="2"/>
  <c r="I163" i="2"/>
  <c r="J163" i="2"/>
  <c r="M163" i="2"/>
  <c r="N163" i="2"/>
  <c r="Q161" i="2"/>
  <c r="D161" i="2"/>
  <c r="Z161" i="2"/>
  <c r="E161" i="2"/>
  <c r="G161" i="2"/>
  <c r="H161" i="2"/>
  <c r="K161" i="2"/>
  <c r="L161" i="2"/>
  <c r="F161" i="2"/>
  <c r="I161" i="2"/>
  <c r="J161" i="2"/>
  <c r="M161" i="2"/>
  <c r="N161" i="2"/>
  <c r="Q162" i="2"/>
  <c r="D162" i="2"/>
  <c r="Z162" i="2"/>
  <c r="E162" i="2"/>
  <c r="G162" i="2"/>
  <c r="H162" i="2"/>
  <c r="K162" i="2"/>
  <c r="L162" i="2"/>
  <c r="F162" i="2"/>
  <c r="I162" i="2"/>
  <c r="J162" i="2"/>
  <c r="M162" i="2"/>
  <c r="N162" i="2"/>
  <c r="Q160" i="2"/>
  <c r="D160" i="2"/>
  <c r="Z160" i="2"/>
  <c r="E160" i="2"/>
  <c r="G160" i="2"/>
  <c r="H160" i="2"/>
  <c r="K160" i="2"/>
  <c r="L160" i="2"/>
  <c r="F160" i="2"/>
  <c r="I160" i="2"/>
  <c r="J160" i="2"/>
  <c r="M160" i="2"/>
  <c r="N160" i="2"/>
  <c r="Q159" i="2"/>
  <c r="D159" i="2"/>
  <c r="Z159" i="2"/>
  <c r="E159" i="2"/>
  <c r="G159" i="2"/>
  <c r="H159" i="2"/>
  <c r="K159" i="2"/>
  <c r="L159" i="2"/>
  <c r="F159" i="2"/>
  <c r="I159" i="2"/>
  <c r="J159" i="2"/>
  <c r="M159" i="2"/>
  <c r="N159" i="2"/>
  <c r="Q157" i="2"/>
  <c r="D157" i="2"/>
  <c r="Z157" i="2"/>
  <c r="E157" i="2"/>
  <c r="F157" i="2"/>
  <c r="G157" i="2"/>
  <c r="H157" i="2"/>
  <c r="I157" i="2"/>
  <c r="J157" i="2"/>
  <c r="L157" i="2"/>
  <c r="K157" i="2"/>
  <c r="M157" i="2"/>
  <c r="N157" i="2"/>
  <c r="Q156" i="2"/>
  <c r="D156" i="2"/>
  <c r="Z156" i="2"/>
  <c r="E156" i="2"/>
  <c r="G156" i="2"/>
  <c r="H156" i="2"/>
  <c r="K156" i="2"/>
  <c r="L156" i="2"/>
  <c r="F156" i="2"/>
  <c r="I156" i="2"/>
  <c r="J156" i="2"/>
  <c r="M156" i="2"/>
  <c r="N156" i="2"/>
  <c r="O166" i="2"/>
  <c r="O165" i="2"/>
  <c r="O163" i="2"/>
  <c r="O161" i="2"/>
  <c r="O162" i="2"/>
  <c r="O160" i="2"/>
  <c r="O159" i="2"/>
  <c r="Q158" i="2"/>
  <c r="D158" i="2"/>
  <c r="Z158" i="2"/>
  <c r="E158" i="2"/>
  <c r="F158" i="2"/>
  <c r="G158" i="2"/>
  <c r="H158" i="2"/>
  <c r="I158" i="2"/>
  <c r="J158" i="2"/>
  <c r="K158" i="2"/>
  <c r="L158" i="2"/>
  <c r="M158" i="2"/>
  <c r="N158" i="2"/>
  <c r="O158" i="2"/>
  <c r="O157" i="2"/>
  <c r="O156" i="2"/>
  <c r="Q155" i="2"/>
  <c r="D155" i="2"/>
  <c r="Z155" i="2"/>
  <c r="E155" i="2"/>
  <c r="G155" i="2"/>
  <c r="H155" i="2"/>
  <c r="K155" i="2"/>
  <c r="L155" i="2"/>
  <c r="F155" i="2"/>
  <c r="I155" i="2"/>
  <c r="J155" i="2"/>
  <c r="M155" i="2"/>
  <c r="N155" i="2"/>
  <c r="Q154" i="2"/>
  <c r="D154" i="2"/>
  <c r="Z154" i="2"/>
  <c r="E154" i="2"/>
  <c r="G154" i="2"/>
  <c r="H154" i="2"/>
  <c r="K154" i="2"/>
  <c r="L154" i="2"/>
  <c r="F154" i="2"/>
  <c r="I154" i="2"/>
  <c r="J154" i="2"/>
  <c r="M154" i="2"/>
  <c r="N154" i="2"/>
  <c r="O155" i="2"/>
  <c r="O154" i="2"/>
  <c r="Q153" i="2"/>
  <c r="D153" i="2"/>
  <c r="Z153" i="2"/>
  <c r="E153" i="2"/>
  <c r="G153" i="2"/>
  <c r="H153" i="2"/>
  <c r="K153" i="2"/>
  <c r="L153" i="2"/>
  <c r="F153" i="2"/>
  <c r="I153" i="2"/>
  <c r="J153" i="2"/>
  <c r="M153" i="2"/>
  <c r="N153" i="2"/>
  <c r="Q152" i="2"/>
  <c r="D152" i="2"/>
  <c r="Z152" i="2"/>
  <c r="E152" i="2"/>
  <c r="G152" i="2"/>
  <c r="H152" i="2"/>
  <c r="K152" i="2"/>
  <c r="L152" i="2"/>
  <c r="F152" i="2"/>
  <c r="I152" i="2"/>
  <c r="J152" i="2"/>
  <c r="M152" i="2"/>
  <c r="N152" i="2"/>
  <c r="O153" i="2"/>
  <c r="O152" i="2"/>
  <c r="Q151" i="2"/>
  <c r="D151" i="2"/>
  <c r="Z151" i="2"/>
  <c r="E151" i="2"/>
  <c r="F151" i="2"/>
  <c r="G151" i="2"/>
  <c r="H151" i="2"/>
  <c r="I151" i="2"/>
  <c r="J151" i="2"/>
  <c r="K151" i="2"/>
  <c r="L151" i="2"/>
  <c r="M151" i="2"/>
  <c r="N151" i="2"/>
  <c r="O151" i="2"/>
  <c r="Q149" i="2"/>
  <c r="D149" i="2"/>
  <c r="Z149" i="2"/>
  <c r="E149" i="2"/>
  <c r="G149" i="2"/>
  <c r="H149" i="2"/>
  <c r="K149" i="2"/>
  <c r="L149" i="2"/>
  <c r="F149" i="2"/>
  <c r="I149" i="2"/>
  <c r="J149" i="2"/>
  <c r="M149" i="2"/>
  <c r="N149" i="2"/>
  <c r="Q144" i="2"/>
  <c r="D144" i="2"/>
  <c r="Z144" i="2"/>
  <c r="E144" i="2"/>
  <c r="G144" i="2"/>
  <c r="H144" i="2"/>
  <c r="K144" i="2"/>
  <c r="L144" i="2"/>
  <c r="F144" i="2"/>
  <c r="I144" i="2"/>
  <c r="J144" i="2"/>
  <c r="M144" i="2"/>
  <c r="N144" i="2"/>
  <c r="Q143" i="2"/>
  <c r="D143" i="2"/>
  <c r="Z143" i="2"/>
  <c r="E143" i="2"/>
  <c r="G143" i="2"/>
  <c r="H143" i="2"/>
  <c r="K143" i="2"/>
  <c r="L143" i="2"/>
  <c r="F143" i="2"/>
  <c r="I143" i="2"/>
  <c r="J143" i="2"/>
  <c r="M143" i="2"/>
  <c r="N143" i="2"/>
  <c r="Q145" i="2"/>
  <c r="D145" i="2"/>
  <c r="Z145" i="2"/>
  <c r="E145" i="2"/>
  <c r="G145" i="2"/>
  <c r="H145" i="2"/>
  <c r="K145" i="2"/>
  <c r="L145" i="2"/>
  <c r="F145" i="2"/>
  <c r="I145" i="2"/>
  <c r="J145" i="2"/>
  <c r="M145" i="2"/>
  <c r="N145" i="2"/>
  <c r="Q142" i="2"/>
  <c r="D142" i="2"/>
  <c r="Z142" i="2"/>
  <c r="E142" i="2"/>
  <c r="G142" i="2"/>
  <c r="H142" i="2"/>
  <c r="K142" i="2"/>
  <c r="L142" i="2"/>
  <c r="F142" i="2"/>
  <c r="I142" i="2"/>
  <c r="J142" i="2"/>
  <c r="M142" i="2"/>
  <c r="N142" i="2"/>
  <c r="Q141" i="2"/>
  <c r="D141" i="2"/>
  <c r="Z141" i="2"/>
  <c r="E141" i="2"/>
  <c r="G141" i="2"/>
  <c r="H141" i="2"/>
  <c r="K141" i="2"/>
  <c r="L141" i="2"/>
  <c r="F141" i="2"/>
  <c r="I141" i="2"/>
  <c r="J141" i="2"/>
  <c r="M141" i="2"/>
  <c r="N141" i="2"/>
  <c r="Q140" i="2"/>
  <c r="D140" i="2"/>
  <c r="Z140" i="2"/>
  <c r="E140" i="2"/>
  <c r="G140" i="2"/>
  <c r="H140" i="2"/>
  <c r="K140" i="2"/>
  <c r="L140" i="2"/>
  <c r="F140" i="2"/>
  <c r="I140" i="2"/>
  <c r="J140" i="2"/>
  <c r="M140" i="2"/>
  <c r="N140" i="2"/>
  <c r="Q137" i="2"/>
  <c r="D137" i="2"/>
  <c r="Z137" i="2"/>
  <c r="E137" i="2"/>
  <c r="G137" i="2"/>
  <c r="H137" i="2"/>
  <c r="K137" i="2"/>
  <c r="L137" i="2"/>
  <c r="F137" i="2"/>
  <c r="I137" i="2"/>
  <c r="J137" i="2"/>
  <c r="M137" i="2"/>
  <c r="N137" i="2"/>
  <c r="Q138" i="2"/>
  <c r="D138" i="2"/>
  <c r="Z138" i="2"/>
  <c r="E138" i="2"/>
  <c r="G138" i="2"/>
  <c r="H138" i="2"/>
  <c r="K138" i="2"/>
  <c r="L138" i="2"/>
  <c r="F138" i="2"/>
  <c r="I138" i="2"/>
  <c r="J138" i="2"/>
  <c r="M138" i="2"/>
  <c r="N138" i="2"/>
  <c r="Q139" i="2"/>
  <c r="D139" i="2"/>
  <c r="Z139" i="2"/>
  <c r="E139" i="2"/>
  <c r="G139" i="2"/>
  <c r="H139" i="2"/>
  <c r="K139" i="2"/>
  <c r="L139" i="2"/>
  <c r="F139" i="2"/>
  <c r="I139" i="2"/>
  <c r="J139" i="2"/>
  <c r="M139" i="2"/>
  <c r="N139" i="2"/>
  <c r="Q135" i="2"/>
  <c r="D135" i="2"/>
  <c r="Z135" i="2"/>
  <c r="E135" i="2"/>
  <c r="G135" i="2"/>
  <c r="H135" i="2"/>
  <c r="K135" i="2"/>
  <c r="L135" i="2"/>
  <c r="F135" i="2"/>
  <c r="I135" i="2"/>
  <c r="J135" i="2"/>
  <c r="M135" i="2"/>
  <c r="N135" i="2"/>
  <c r="Q136" i="2"/>
  <c r="D136" i="2"/>
  <c r="Z136" i="2"/>
  <c r="E136" i="2"/>
  <c r="G136" i="2"/>
  <c r="H136" i="2"/>
  <c r="K136" i="2"/>
  <c r="L136" i="2"/>
  <c r="F136" i="2"/>
  <c r="I136" i="2"/>
  <c r="J136" i="2"/>
  <c r="M136" i="2"/>
  <c r="N136" i="2"/>
  <c r="Q134" i="2"/>
  <c r="D134" i="2"/>
  <c r="Z134" i="2"/>
  <c r="E134" i="2"/>
  <c r="G134" i="2"/>
  <c r="H134" i="2"/>
  <c r="K134" i="2"/>
  <c r="L134" i="2"/>
  <c r="F134" i="2"/>
  <c r="I134" i="2"/>
  <c r="J134" i="2"/>
  <c r="M134" i="2"/>
  <c r="N134" i="2"/>
  <c r="O149" i="2"/>
  <c r="O144" i="2"/>
  <c r="O143" i="2"/>
  <c r="O145" i="2"/>
  <c r="O142" i="2"/>
  <c r="O141" i="2"/>
  <c r="O140" i="2"/>
  <c r="O137" i="2"/>
  <c r="O138" i="2"/>
  <c r="O139" i="2"/>
  <c r="O135" i="2"/>
  <c r="O136" i="2"/>
  <c r="O134" i="2"/>
  <c r="Q133" i="2"/>
  <c r="D133" i="2"/>
  <c r="Z133" i="2"/>
  <c r="E133" i="2"/>
  <c r="G133" i="2"/>
  <c r="H133" i="2"/>
  <c r="K133" i="2"/>
  <c r="L133" i="2"/>
  <c r="F133" i="2"/>
  <c r="I133" i="2"/>
  <c r="J133" i="2"/>
  <c r="M133" i="2"/>
  <c r="N133" i="2"/>
  <c r="O133" i="2"/>
  <c r="Q131" i="2"/>
  <c r="D131" i="2"/>
  <c r="Z131" i="2"/>
  <c r="E131" i="2"/>
  <c r="G131" i="2"/>
  <c r="H131" i="2"/>
  <c r="K131" i="2"/>
  <c r="L131" i="2"/>
  <c r="F131" i="2"/>
  <c r="I131" i="2"/>
  <c r="J131" i="2"/>
  <c r="M131" i="2"/>
  <c r="N131" i="2"/>
  <c r="Q132" i="2"/>
  <c r="D132" i="2"/>
  <c r="Z132" i="2"/>
  <c r="E132" i="2"/>
  <c r="G132" i="2"/>
  <c r="H132" i="2"/>
  <c r="K132" i="2"/>
  <c r="L132" i="2"/>
  <c r="F132" i="2"/>
  <c r="I132" i="2"/>
  <c r="J132" i="2"/>
  <c r="M132" i="2"/>
  <c r="N132" i="2"/>
  <c r="Q130" i="2"/>
  <c r="D130" i="2"/>
  <c r="Z130" i="2"/>
  <c r="E130" i="2"/>
  <c r="G130" i="2"/>
  <c r="H130" i="2"/>
  <c r="K130" i="2"/>
  <c r="L130" i="2"/>
  <c r="F130" i="2"/>
  <c r="I130" i="2"/>
  <c r="J130" i="2"/>
  <c r="M130" i="2"/>
  <c r="N130" i="2"/>
  <c r="O131" i="2"/>
  <c r="O132" i="2"/>
  <c r="O130" i="2"/>
  <c r="Q129" i="2"/>
  <c r="D129" i="2"/>
  <c r="Z129" i="2"/>
  <c r="E129" i="2"/>
  <c r="G129" i="2"/>
  <c r="H129" i="2"/>
  <c r="K129" i="2"/>
  <c r="L129" i="2"/>
  <c r="F129" i="2"/>
  <c r="I129" i="2"/>
  <c r="J129" i="2"/>
  <c r="M129" i="2"/>
  <c r="N129" i="2"/>
  <c r="O129" i="2"/>
  <c r="Q128" i="2"/>
  <c r="D128" i="2"/>
  <c r="Z128" i="2"/>
  <c r="E128" i="2"/>
  <c r="G128" i="2"/>
  <c r="H128" i="2"/>
  <c r="K128" i="2"/>
  <c r="L128" i="2"/>
  <c r="F128" i="2"/>
  <c r="I128" i="2"/>
  <c r="J128" i="2"/>
  <c r="M128" i="2"/>
  <c r="N128" i="2"/>
  <c r="Q127" i="2"/>
  <c r="D127" i="2"/>
  <c r="Z127" i="2"/>
  <c r="E127" i="2"/>
  <c r="G127" i="2"/>
  <c r="H127" i="2"/>
  <c r="K127" i="2"/>
  <c r="L127" i="2"/>
  <c r="F127" i="2"/>
  <c r="I127" i="2"/>
  <c r="J127" i="2"/>
  <c r="M127" i="2"/>
  <c r="N127" i="2"/>
  <c r="Q125" i="2"/>
  <c r="D125" i="2"/>
  <c r="Z125" i="2"/>
  <c r="E125" i="2"/>
  <c r="G125" i="2"/>
  <c r="H125" i="2"/>
  <c r="K125" i="2"/>
  <c r="L125" i="2"/>
  <c r="F125" i="2"/>
  <c r="I125" i="2"/>
  <c r="J125" i="2"/>
  <c r="M125" i="2"/>
  <c r="N125" i="2"/>
  <c r="Q124" i="2"/>
  <c r="D124" i="2"/>
  <c r="Z124" i="2"/>
  <c r="E124" i="2"/>
  <c r="G124" i="2"/>
  <c r="H124" i="2"/>
  <c r="K124" i="2"/>
  <c r="L124" i="2"/>
  <c r="F124" i="2"/>
  <c r="I124" i="2"/>
  <c r="J124" i="2"/>
  <c r="M124" i="2"/>
  <c r="N124" i="2"/>
  <c r="Q123" i="2"/>
  <c r="D123" i="2"/>
  <c r="Z123" i="2"/>
  <c r="E123" i="2"/>
  <c r="G123" i="2"/>
  <c r="H123" i="2"/>
  <c r="K123" i="2"/>
  <c r="L123" i="2"/>
  <c r="F123" i="2"/>
  <c r="I123" i="2"/>
  <c r="J123" i="2"/>
  <c r="M123" i="2"/>
  <c r="N123" i="2"/>
  <c r="Q122" i="2"/>
  <c r="D122" i="2"/>
  <c r="Z122" i="2"/>
  <c r="E122" i="2"/>
  <c r="G122" i="2"/>
  <c r="H122" i="2"/>
  <c r="K122" i="2"/>
  <c r="L122" i="2"/>
  <c r="F122" i="2"/>
  <c r="I122" i="2"/>
  <c r="J122" i="2"/>
  <c r="M122" i="2"/>
  <c r="N122" i="2"/>
  <c r="Q121" i="2"/>
  <c r="D121" i="2"/>
  <c r="Z121" i="2"/>
  <c r="E121" i="2"/>
  <c r="G121" i="2"/>
  <c r="H121" i="2"/>
  <c r="K121" i="2"/>
  <c r="L121" i="2"/>
  <c r="F121" i="2"/>
  <c r="I121" i="2"/>
  <c r="J121" i="2"/>
  <c r="M121" i="2"/>
  <c r="N121" i="2"/>
  <c r="Q120" i="2"/>
  <c r="D120" i="2"/>
  <c r="Z120" i="2"/>
  <c r="E120" i="2"/>
  <c r="G120" i="2"/>
  <c r="H120" i="2"/>
  <c r="K120" i="2"/>
  <c r="L120" i="2"/>
  <c r="F120" i="2"/>
  <c r="I120" i="2"/>
  <c r="J120" i="2"/>
  <c r="M120" i="2"/>
  <c r="N120" i="2"/>
  <c r="Q118" i="2"/>
  <c r="D118" i="2"/>
  <c r="Z118" i="2"/>
  <c r="E118" i="2"/>
  <c r="G118" i="2"/>
  <c r="H118" i="2"/>
  <c r="K118" i="2"/>
  <c r="L118" i="2"/>
  <c r="F118" i="2"/>
  <c r="I118" i="2"/>
  <c r="J118" i="2"/>
  <c r="M118" i="2"/>
  <c r="N118" i="2"/>
  <c r="Q116" i="2"/>
  <c r="D116" i="2"/>
  <c r="Z116" i="2"/>
  <c r="E116" i="2"/>
  <c r="G116" i="2"/>
  <c r="H116" i="2"/>
  <c r="K116" i="2"/>
  <c r="L116" i="2"/>
  <c r="F116" i="2"/>
  <c r="I116" i="2"/>
  <c r="J116" i="2"/>
  <c r="M116" i="2"/>
  <c r="N116" i="2"/>
  <c r="Q117" i="2"/>
  <c r="D117" i="2"/>
  <c r="Z117" i="2"/>
  <c r="E117" i="2"/>
  <c r="G117" i="2"/>
  <c r="H117" i="2"/>
  <c r="K117" i="2"/>
  <c r="L117" i="2"/>
  <c r="F117" i="2"/>
  <c r="I117" i="2"/>
  <c r="J117" i="2"/>
  <c r="M117" i="2"/>
  <c r="N117" i="2"/>
  <c r="Q115" i="2"/>
  <c r="D115" i="2"/>
  <c r="Z115" i="2"/>
  <c r="E115" i="2"/>
  <c r="G115" i="2"/>
  <c r="H115" i="2"/>
  <c r="K115" i="2"/>
  <c r="L115" i="2"/>
  <c r="F115" i="2"/>
  <c r="I115" i="2"/>
  <c r="J115" i="2"/>
  <c r="M115" i="2"/>
  <c r="N115" i="2"/>
  <c r="Q113" i="2"/>
  <c r="D113" i="2"/>
  <c r="Z113" i="2"/>
  <c r="E113" i="2"/>
  <c r="G113" i="2"/>
  <c r="H113" i="2"/>
  <c r="K113" i="2"/>
  <c r="L113" i="2"/>
  <c r="F113" i="2"/>
  <c r="I113" i="2"/>
  <c r="J113" i="2"/>
  <c r="M113" i="2"/>
  <c r="N113" i="2"/>
  <c r="Q110" i="2"/>
  <c r="D110" i="2"/>
  <c r="Z110" i="2"/>
  <c r="E110" i="2"/>
  <c r="G110" i="2"/>
  <c r="H110" i="2"/>
  <c r="K110" i="2"/>
  <c r="L110" i="2"/>
  <c r="F110" i="2"/>
  <c r="I110" i="2"/>
  <c r="J110" i="2"/>
  <c r="M110" i="2"/>
  <c r="N110" i="2"/>
  <c r="Q108" i="2"/>
  <c r="D108" i="2"/>
  <c r="Z108" i="2"/>
  <c r="E108" i="2"/>
  <c r="G108" i="2"/>
  <c r="H108" i="2"/>
  <c r="K108" i="2"/>
  <c r="L108" i="2"/>
  <c r="F108" i="2"/>
  <c r="I108" i="2"/>
  <c r="J108" i="2"/>
  <c r="M108" i="2"/>
  <c r="N108" i="2"/>
  <c r="Q109" i="2"/>
  <c r="D109" i="2"/>
  <c r="Z109" i="2"/>
  <c r="E109" i="2"/>
  <c r="G109" i="2"/>
  <c r="H109" i="2"/>
  <c r="K109" i="2"/>
  <c r="L109" i="2"/>
  <c r="F109" i="2"/>
  <c r="I109" i="2"/>
  <c r="J109" i="2"/>
  <c r="M109" i="2"/>
  <c r="N109" i="2"/>
  <c r="Q107" i="2"/>
  <c r="D107" i="2"/>
  <c r="Z107" i="2"/>
  <c r="E107" i="2"/>
  <c r="G107" i="2"/>
  <c r="H107" i="2"/>
  <c r="K107" i="2"/>
  <c r="L107" i="2"/>
  <c r="F107" i="2"/>
  <c r="I107" i="2"/>
  <c r="J107" i="2"/>
  <c r="M107" i="2"/>
  <c r="N107" i="2"/>
  <c r="Q106" i="2"/>
  <c r="D106" i="2"/>
  <c r="Z106" i="2"/>
  <c r="E106" i="2"/>
  <c r="G106" i="2"/>
  <c r="H106" i="2"/>
  <c r="K106" i="2"/>
  <c r="L106" i="2"/>
  <c r="F106" i="2"/>
  <c r="I106" i="2"/>
  <c r="J106" i="2"/>
  <c r="M106" i="2"/>
  <c r="N106" i="2"/>
  <c r="Q105" i="2"/>
  <c r="D105" i="2"/>
  <c r="Z105" i="2"/>
  <c r="E105" i="2"/>
  <c r="G105" i="2"/>
  <c r="H105" i="2"/>
  <c r="K105" i="2"/>
  <c r="L105" i="2"/>
  <c r="F105" i="2"/>
  <c r="I105" i="2"/>
  <c r="J105" i="2"/>
  <c r="M105" i="2"/>
  <c r="N105" i="2"/>
  <c r="Q104" i="2"/>
  <c r="D104" i="2"/>
  <c r="Z104" i="2"/>
  <c r="E104" i="2"/>
  <c r="G104" i="2"/>
  <c r="H104" i="2"/>
  <c r="K104" i="2"/>
  <c r="L104" i="2"/>
  <c r="F104" i="2"/>
  <c r="I104" i="2"/>
  <c r="J104" i="2"/>
  <c r="M104" i="2"/>
  <c r="N104" i="2"/>
  <c r="Q103" i="2"/>
  <c r="D103" i="2"/>
  <c r="Z103" i="2"/>
  <c r="E103" i="2"/>
  <c r="G103" i="2"/>
  <c r="H103" i="2"/>
  <c r="K103" i="2"/>
  <c r="L103" i="2"/>
  <c r="F103" i="2"/>
  <c r="I103" i="2"/>
  <c r="J103" i="2"/>
  <c r="M103" i="2"/>
  <c r="N103" i="2"/>
  <c r="O128" i="2"/>
  <c r="O127" i="2"/>
  <c r="O125" i="2"/>
  <c r="O124" i="2"/>
  <c r="O123" i="2"/>
  <c r="O122" i="2"/>
  <c r="O121" i="2"/>
  <c r="O120" i="2"/>
  <c r="O118" i="2"/>
  <c r="O116" i="2"/>
  <c r="O117" i="2"/>
  <c r="O115" i="2"/>
  <c r="O113" i="2"/>
  <c r="O110" i="2"/>
  <c r="O108" i="2"/>
  <c r="O109" i="2"/>
  <c r="O107" i="2"/>
  <c r="O106" i="2"/>
  <c r="O105" i="2"/>
  <c r="O104" i="2"/>
  <c r="O103" i="2"/>
  <c r="Q102" i="2"/>
  <c r="D102" i="2"/>
  <c r="Z102" i="2"/>
  <c r="E102" i="2"/>
  <c r="G102" i="2"/>
  <c r="H102" i="2"/>
  <c r="K102" i="2"/>
  <c r="L102" i="2"/>
  <c r="F102" i="2"/>
  <c r="I102" i="2"/>
  <c r="J102" i="2"/>
  <c r="M102" i="2"/>
  <c r="N102" i="2"/>
  <c r="Q101" i="2"/>
  <c r="D101" i="2"/>
  <c r="Z101" i="2"/>
  <c r="H101" i="2"/>
  <c r="J101" i="2"/>
  <c r="E101" i="2"/>
  <c r="G101" i="2"/>
  <c r="K101" i="2"/>
  <c r="L101" i="2"/>
  <c r="F101" i="2"/>
  <c r="I101" i="2"/>
  <c r="M101" i="2"/>
  <c r="N101" i="2"/>
  <c r="Q99" i="2"/>
  <c r="D99" i="2"/>
  <c r="Z99" i="2"/>
  <c r="E99" i="2"/>
  <c r="G99" i="2"/>
  <c r="H99" i="2"/>
  <c r="K99" i="2"/>
  <c r="L99" i="2"/>
  <c r="F99" i="2"/>
  <c r="I99" i="2"/>
  <c r="J99" i="2"/>
  <c r="M99" i="2"/>
  <c r="N99" i="2"/>
  <c r="Q98" i="2"/>
  <c r="D98" i="2"/>
  <c r="Z98" i="2"/>
  <c r="E98" i="2"/>
  <c r="G98" i="2"/>
  <c r="H98" i="2"/>
  <c r="K98" i="2"/>
  <c r="L98" i="2"/>
  <c r="F98" i="2"/>
  <c r="I98" i="2"/>
  <c r="J98" i="2"/>
  <c r="M98" i="2"/>
  <c r="N98" i="2"/>
  <c r="Q100" i="2"/>
  <c r="D100" i="2"/>
  <c r="Z100" i="2"/>
  <c r="E100" i="2"/>
  <c r="G100" i="2"/>
  <c r="H100" i="2"/>
  <c r="K100" i="2"/>
  <c r="L100" i="2"/>
  <c r="F100" i="2"/>
  <c r="I100" i="2"/>
  <c r="J100" i="2"/>
  <c r="M100" i="2"/>
  <c r="N100" i="2"/>
  <c r="Q97" i="2"/>
  <c r="D97" i="2"/>
  <c r="Z97" i="2"/>
  <c r="E97" i="2"/>
  <c r="G97" i="2"/>
  <c r="H97" i="2"/>
  <c r="K97" i="2"/>
  <c r="L97" i="2"/>
  <c r="F97" i="2"/>
  <c r="I97" i="2"/>
  <c r="J97" i="2"/>
  <c r="M97" i="2"/>
  <c r="N97" i="2"/>
  <c r="Q94" i="2"/>
  <c r="D94" i="2"/>
  <c r="Z94" i="2"/>
  <c r="H94" i="2"/>
  <c r="J94" i="2"/>
  <c r="E94" i="2"/>
  <c r="G94" i="2"/>
  <c r="K94" i="2"/>
  <c r="L94" i="2"/>
  <c r="F94" i="2"/>
  <c r="I94" i="2"/>
  <c r="M94" i="2"/>
  <c r="N94" i="2"/>
  <c r="Q95" i="2"/>
  <c r="D95" i="2"/>
  <c r="Z95" i="2"/>
  <c r="H95" i="2"/>
  <c r="J95" i="2"/>
  <c r="E95" i="2"/>
  <c r="G95" i="2"/>
  <c r="K95" i="2"/>
  <c r="L95" i="2"/>
  <c r="F95" i="2"/>
  <c r="I95" i="2"/>
  <c r="M95" i="2"/>
  <c r="N95" i="2"/>
  <c r="Q96" i="2"/>
  <c r="D96" i="2"/>
  <c r="Z96" i="2"/>
  <c r="H96" i="2"/>
  <c r="J96" i="2"/>
  <c r="E96" i="2"/>
  <c r="G96" i="2"/>
  <c r="K96" i="2"/>
  <c r="L96" i="2"/>
  <c r="F96" i="2"/>
  <c r="I96" i="2"/>
  <c r="M96" i="2"/>
  <c r="N96" i="2"/>
  <c r="Q93" i="2"/>
  <c r="D93" i="2"/>
  <c r="Z93" i="2"/>
  <c r="E93" i="2"/>
  <c r="G93" i="2"/>
  <c r="H93" i="2"/>
  <c r="K93" i="2"/>
  <c r="L93" i="2"/>
  <c r="F93" i="2"/>
  <c r="I93" i="2"/>
  <c r="J93" i="2"/>
  <c r="M93" i="2"/>
  <c r="N93" i="2"/>
  <c r="Q92" i="2"/>
  <c r="D92" i="2"/>
  <c r="Z92" i="2"/>
  <c r="H92" i="2"/>
  <c r="J92" i="2"/>
  <c r="E92" i="2"/>
  <c r="G92" i="2"/>
  <c r="K92" i="2"/>
  <c r="L92" i="2"/>
  <c r="F92" i="2"/>
  <c r="I92" i="2"/>
  <c r="M92" i="2"/>
  <c r="N92" i="2"/>
  <c r="O92" i="2"/>
  <c r="O102" i="2"/>
  <c r="O101" i="2"/>
  <c r="O99" i="2"/>
  <c r="O98" i="2"/>
  <c r="O100" i="2"/>
  <c r="O97" i="2"/>
  <c r="O94" i="2"/>
  <c r="O95" i="2"/>
  <c r="O96" i="2"/>
  <c r="O93" i="2"/>
  <c r="Q91" i="2"/>
  <c r="D91" i="2"/>
  <c r="Z91" i="2"/>
  <c r="E91" i="2"/>
  <c r="G91" i="2"/>
  <c r="H91" i="2"/>
  <c r="K91" i="2"/>
  <c r="L91" i="2"/>
  <c r="F91" i="2"/>
  <c r="I91" i="2"/>
  <c r="J91" i="2"/>
  <c r="M91" i="2"/>
  <c r="N91" i="2"/>
  <c r="O91" i="2"/>
  <c r="Q90" i="2"/>
  <c r="D90" i="2"/>
  <c r="Z90" i="2"/>
  <c r="E90" i="2"/>
  <c r="G90" i="2"/>
  <c r="H90" i="2"/>
  <c r="K90" i="2"/>
  <c r="L90" i="2"/>
  <c r="F90" i="2"/>
  <c r="I90" i="2"/>
  <c r="J90" i="2"/>
  <c r="M90" i="2"/>
  <c r="N90" i="2"/>
  <c r="Q89" i="2"/>
  <c r="D89" i="2"/>
  <c r="Z89" i="2"/>
  <c r="E89" i="2"/>
  <c r="G89" i="2"/>
  <c r="H89" i="2"/>
  <c r="K89" i="2"/>
  <c r="L89" i="2"/>
  <c r="F89" i="2"/>
  <c r="I89" i="2"/>
  <c r="J89" i="2"/>
  <c r="M89" i="2"/>
  <c r="N89" i="2"/>
  <c r="O90" i="2"/>
  <c r="O89" i="2"/>
  <c r="Q88" i="2"/>
  <c r="D88" i="2"/>
  <c r="Z88" i="2"/>
  <c r="E88" i="2"/>
  <c r="G88" i="2"/>
  <c r="H88" i="2"/>
  <c r="K88" i="2"/>
  <c r="L88" i="2"/>
  <c r="F88" i="2"/>
  <c r="I88" i="2"/>
  <c r="J88" i="2"/>
  <c r="M88" i="2"/>
  <c r="N88" i="2"/>
  <c r="Q87" i="2"/>
  <c r="D87" i="2"/>
  <c r="Z87" i="2"/>
  <c r="E87" i="2"/>
  <c r="G87" i="2"/>
  <c r="H87" i="2"/>
  <c r="K87" i="2"/>
  <c r="L87" i="2"/>
  <c r="F87" i="2"/>
  <c r="I87" i="2"/>
  <c r="J87" i="2"/>
  <c r="M87" i="2"/>
  <c r="N87" i="2"/>
  <c r="Q86" i="2"/>
  <c r="D86" i="2"/>
  <c r="Z86" i="2"/>
  <c r="E86" i="2"/>
  <c r="F86" i="2"/>
  <c r="G86" i="2"/>
  <c r="H86" i="2"/>
  <c r="I86" i="2"/>
  <c r="J86" i="2"/>
  <c r="K86" i="2"/>
  <c r="L86" i="2"/>
  <c r="M86" i="2"/>
  <c r="N86" i="2"/>
  <c r="O88" i="2"/>
  <c r="O87" i="2"/>
  <c r="O86" i="2"/>
  <c r="Q85" i="2"/>
  <c r="D85" i="2"/>
  <c r="Z85" i="2"/>
  <c r="H85" i="2"/>
  <c r="J85" i="2"/>
  <c r="E85" i="2"/>
  <c r="G85" i="2"/>
  <c r="K85" i="2"/>
  <c r="L85" i="2"/>
  <c r="F85" i="2"/>
  <c r="I85" i="2"/>
  <c r="M85" i="2"/>
  <c r="N85" i="2"/>
  <c r="Q84" i="2"/>
  <c r="D84" i="2"/>
  <c r="Z84" i="2"/>
  <c r="E84" i="2"/>
  <c r="G84" i="2"/>
  <c r="H84" i="2"/>
  <c r="K84" i="2"/>
  <c r="L84" i="2"/>
  <c r="F84" i="2"/>
  <c r="I84" i="2"/>
  <c r="J84" i="2"/>
  <c r="M84" i="2"/>
  <c r="N84" i="2"/>
  <c r="O85" i="2"/>
  <c r="O84" i="2"/>
  <c r="Q83" i="2"/>
  <c r="D83" i="2"/>
  <c r="Z83" i="2"/>
  <c r="E83" i="2"/>
  <c r="G83" i="2"/>
  <c r="H83" i="2"/>
  <c r="K83" i="2"/>
  <c r="L83" i="2"/>
  <c r="F83" i="2"/>
  <c r="I83" i="2"/>
  <c r="J83" i="2"/>
  <c r="M83" i="2"/>
  <c r="N83" i="2"/>
  <c r="Q81" i="2"/>
  <c r="D81" i="2"/>
  <c r="Z81" i="2"/>
  <c r="E81" i="2"/>
  <c r="G81" i="2"/>
  <c r="H81" i="2"/>
  <c r="K81" i="2"/>
  <c r="L81" i="2"/>
  <c r="F81" i="2"/>
  <c r="I81" i="2"/>
  <c r="J81" i="2"/>
  <c r="M81" i="2"/>
  <c r="N81" i="2"/>
  <c r="Q80" i="2"/>
  <c r="D80" i="2"/>
  <c r="Z80" i="2"/>
  <c r="E80" i="2"/>
  <c r="G80" i="2"/>
  <c r="H80" i="2"/>
  <c r="K80" i="2"/>
  <c r="L80" i="2"/>
  <c r="F80" i="2"/>
  <c r="I80" i="2"/>
  <c r="J80" i="2"/>
  <c r="M80" i="2"/>
  <c r="N80" i="2"/>
  <c r="O83" i="2"/>
  <c r="O81" i="2"/>
  <c r="O80" i="2"/>
  <c r="Q79" i="2"/>
  <c r="D79" i="2"/>
  <c r="Z79" i="2"/>
  <c r="E79" i="2"/>
  <c r="G79" i="2"/>
  <c r="H79" i="2"/>
  <c r="K79" i="2"/>
  <c r="L79" i="2"/>
  <c r="F79" i="2"/>
  <c r="I79" i="2"/>
  <c r="J79" i="2"/>
  <c r="M79" i="2"/>
  <c r="N79" i="2"/>
  <c r="O79" i="2"/>
  <c r="Q78" i="2"/>
  <c r="D78" i="2"/>
  <c r="Z78" i="2"/>
  <c r="E78" i="2"/>
  <c r="G78" i="2"/>
  <c r="H78" i="2"/>
  <c r="K78" i="2"/>
  <c r="L78" i="2"/>
  <c r="F78" i="2"/>
  <c r="I78" i="2"/>
  <c r="J78" i="2"/>
  <c r="M78" i="2"/>
  <c r="N78" i="2"/>
  <c r="Q77" i="2"/>
  <c r="D77" i="2"/>
  <c r="Z77" i="2"/>
  <c r="E77" i="2"/>
  <c r="G77" i="2"/>
  <c r="H77" i="2"/>
  <c r="K77" i="2"/>
  <c r="L77" i="2"/>
  <c r="F77" i="2"/>
  <c r="I77" i="2"/>
  <c r="J77" i="2"/>
  <c r="M77" i="2"/>
  <c r="N77" i="2"/>
  <c r="Q73" i="2"/>
  <c r="D73" i="2"/>
  <c r="Z73" i="2"/>
  <c r="H73" i="2"/>
  <c r="J73" i="2"/>
  <c r="E73" i="2"/>
  <c r="G73" i="2"/>
  <c r="K73" i="2"/>
  <c r="L73" i="2"/>
  <c r="F73" i="2"/>
  <c r="I73" i="2"/>
  <c r="M73" i="2"/>
  <c r="N73" i="2"/>
  <c r="O78" i="2"/>
  <c r="O77" i="2"/>
  <c r="O73" i="2"/>
  <c r="Q72" i="2"/>
  <c r="D72" i="2"/>
  <c r="Z72" i="2"/>
  <c r="E72" i="2"/>
  <c r="G72" i="2"/>
  <c r="H72" i="2"/>
  <c r="K72" i="2"/>
  <c r="L72" i="2"/>
  <c r="F72" i="2"/>
  <c r="I72" i="2"/>
  <c r="J72" i="2"/>
  <c r="M72" i="2"/>
  <c r="N72" i="2"/>
  <c r="O72" i="2"/>
  <c r="Q71" i="2"/>
  <c r="D71" i="2"/>
  <c r="Z71" i="2"/>
  <c r="E71" i="2"/>
  <c r="G71" i="2"/>
  <c r="H71" i="2"/>
  <c r="K71" i="2"/>
  <c r="L71" i="2"/>
  <c r="F71" i="2"/>
  <c r="I71" i="2"/>
  <c r="J71" i="2"/>
  <c r="M71" i="2"/>
  <c r="N71" i="2"/>
  <c r="O71" i="2"/>
  <c r="Q69" i="2"/>
  <c r="D69" i="2"/>
  <c r="Z69" i="2"/>
  <c r="E69" i="2"/>
  <c r="G69" i="2"/>
  <c r="H69" i="2"/>
  <c r="K69" i="2"/>
  <c r="L69" i="2"/>
  <c r="F69" i="2"/>
  <c r="I69" i="2"/>
  <c r="J69" i="2"/>
  <c r="M69" i="2"/>
  <c r="N69" i="2"/>
  <c r="O69" i="2"/>
  <c r="Q68" i="2"/>
  <c r="D68" i="2"/>
  <c r="Z68" i="2"/>
  <c r="E68" i="2"/>
  <c r="G68" i="2"/>
  <c r="H68" i="2"/>
  <c r="K68" i="2"/>
  <c r="L68" i="2"/>
  <c r="F68" i="2"/>
  <c r="I68" i="2"/>
  <c r="J68" i="2"/>
  <c r="M68" i="2"/>
  <c r="N68" i="2"/>
  <c r="O68" i="2"/>
  <c r="Q66" i="2"/>
  <c r="D66" i="2"/>
  <c r="Z66" i="2"/>
  <c r="E66" i="2"/>
  <c r="G66" i="2"/>
  <c r="H66" i="2"/>
  <c r="K66" i="2"/>
  <c r="L66" i="2"/>
  <c r="F66" i="2"/>
  <c r="I66" i="2"/>
  <c r="J66" i="2"/>
  <c r="M66" i="2"/>
  <c r="N66" i="2"/>
  <c r="O66" i="2"/>
  <c r="Q65" i="2"/>
  <c r="D65" i="2"/>
  <c r="Z65" i="2"/>
  <c r="E65" i="2"/>
  <c r="G65" i="2"/>
  <c r="H65" i="2"/>
  <c r="K65" i="2"/>
  <c r="L65" i="2"/>
  <c r="F65" i="2"/>
  <c r="I65" i="2"/>
  <c r="J65" i="2"/>
  <c r="M65" i="2"/>
  <c r="N65" i="2"/>
  <c r="O65" i="2"/>
  <c r="Q64" i="2"/>
  <c r="D64" i="2"/>
  <c r="Z64" i="2"/>
  <c r="E64" i="2"/>
  <c r="G64" i="2"/>
  <c r="H64" i="2"/>
  <c r="K64" i="2"/>
  <c r="L64" i="2"/>
  <c r="F64" i="2"/>
  <c r="I64" i="2"/>
  <c r="J64" i="2"/>
  <c r="M64" i="2"/>
  <c r="N64" i="2"/>
  <c r="Q63" i="2"/>
  <c r="D63" i="2"/>
  <c r="Z63" i="2"/>
  <c r="E63" i="2"/>
  <c r="G63" i="2"/>
  <c r="H63" i="2"/>
  <c r="K63" i="2"/>
  <c r="L63" i="2"/>
  <c r="F63" i="2"/>
  <c r="I63" i="2"/>
  <c r="J63" i="2"/>
  <c r="M63" i="2"/>
  <c r="N63" i="2"/>
  <c r="Q62" i="2"/>
  <c r="D62" i="2"/>
  <c r="Z62" i="2"/>
  <c r="E62" i="2"/>
  <c r="G62" i="2"/>
  <c r="H62" i="2"/>
  <c r="K62" i="2"/>
  <c r="L62" i="2"/>
  <c r="F62" i="2"/>
  <c r="I62" i="2"/>
  <c r="J62" i="2"/>
  <c r="M62" i="2"/>
  <c r="N62" i="2"/>
  <c r="O64" i="2"/>
  <c r="O63" i="2"/>
  <c r="O62" i="2"/>
  <c r="Q61" i="2"/>
  <c r="D61" i="2"/>
  <c r="Z61" i="2"/>
  <c r="E61" i="2"/>
  <c r="G61" i="2"/>
  <c r="H61" i="2"/>
  <c r="K61" i="2"/>
  <c r="L61" i="2"/>
  <c r="F61" i="2"/>
  <c r="I61" i="2"/>
  <c r="J61" i="2"/>
  <c r="M61" i="2"/>
  <c r="N61" i="2"/>
  <c r="Q60" i="2"/>
  <c r="D60" i="2"/>
  <c r="Z60" i="2"/>
  <c r="E60" i="2"/>
  <c r="G60" i="2"/>
  <c r="H60" i="2"/>
  <c r="K60" i="2"/>
  <c r="L60" i="2"/>
  <c r="F60" i="2"/>
  <c r="I60" i="2"/>
  <c r="J60" i="2"/>
  <c r="M60" i="2"/>
  <c r="N60" i="2"/>
  <c r="Q59" i="2"/>
  <c r="D59" i="2"/>
  <c r="Z59" i="2"/>
  <c r="E59" i="2"/>
  <c r="G59" i="2"/>
  <c r="H59" i="2"/>
  <c r="K59" i="2"/>
  <c r="L59" i="2"/>
  <c r="F59" i="2"/>
  <c r="I59" i="2"/>
  <c r="J59" i="2"/>
  <c r="M59" i="2"/>
  <c r="N59" i="2"/>
  <c r="O61" i="2"/>
  <c r="O60" i="2"/>
  <c r="O59" i="2"/>
  <c r="Q58" i="2"/>
  <c r="D58" i="2"/>
  <c r="Z58" i="2"/>
  <c r="E58" i="2"/>
  <c r="G58" i="2"/>
  <c r="H58" i="2"/>
  <c r="K58" i="2"/>
  <c r="L58" i="2"/>
  <c r="F58" i="2"/>
  <c r="I58" i="2"/>
  <c r="J58" i="2"/>
  <c r="M58" i="2"/>
  <c r="N58" i="2"/>
  <c r="O58" i="2"/>
  <c r="Q56" i="2"/>
  <c r="D56" i="2"/>
  <c r="Z56" i="2"/>
  <c r="E56" i="2"/>
  <c r="G56" i="2"/>
  <c r="H56" i="2"/>
  <c r="K56" i="2"/>
  <c r="L56" i="2"/>
  <c r="F56" i="2"/>
  <c r="I56" i="2"/>
  <c r="J56" i="2"/>
  <c r="M56" i="2"/>
  <c r="N56" i="2"/>
  <c r="Q57" i="2"/>
  <c r="D57" i="2"/>
  <c r="Z57" i="2"/>
  <c r="E57" i="2"/>
  <c r="G57" i="2"/>
  <c r="H57" i="2"/>
  <c r="K57" i="2"/>
  <c r="L57" i="2"/>
  <c r="F57" i="2"/>
  <c r="I57" i="2"/>
  <c r="J57" i="2"/>
  <c r="M57" i="2"/>
  <c r="N57" i="2"/>
  <c r="Q55" i="2"/>
  <c r="D55" i="2"/>
  <c r="Z55" i="2"/>
  <c r="E55" i="2"/>
  <c r="G55" i="2"/>
  <c r="H55" i="2"/>
  <c r="K55" i="2"/>
  <c r="L55" i="2"/>
  <c r="F55" i="2"/>
  <c r="I55" i="2"/>
  <c r="J55" i="2"/>
  <c r="M55" i="2"/>
  <c r="N55" i="2"/>
  <c r="O56" i="2"/>
  <c r="O57" i="2"/>
  <c r="O55" i="2"/>
  <c r="Q184" i="2"/>
  <c r="D184" i="2"/>
  <c r="Z184" i="2"/>
  <c r="E184" i="2"/>
  <c r="G184" i="2"/>
  <c r="H184" i="2"/>
  <c r="K184" i="2"/>
  <c r="L184" i="2"/>
  <c r="F184" i="2"/>
  <c r="I184" i="2"/>
  <c r="J184" i="2"/>
  <c r="M184" i="2"/>
  <c r="N184" i="2"/>
  <c r="Q185" i="2"/>
  <c r="D185" i="2"/>
  <c r="Z185" i="2"/>
  <c r="E185" i="2"/>
  <c r="G185" i="2"/>
  <c r="H185" i="2"/>
  <c r="K185" i="2"/>
  <c r="L185" i="2"/>
  <c r="F185" i="2"/>
  <c r="I185" i="2"/>
  <c r="J185" i="2"/>
  <c r="M185" i="2"/>
  <c r="N185" i="2"/>
  <c r="O184" i="2"/>
  <c r="O185" i="2"/>
  <c r="Q70" i="2"/>
  <c r="D70" i="2"/>
  <c r="Z70" i="2"/>
  <c r="E70" i="2"/>
  <c r="F70" i="2"/>
  <c r="G70" i="2"/>
  <c r="H70" i="2"/>
  <c r="I70" i="2"/>
  <c r="J70" i="2"/>
  <c r="K70" i="2"/>
  <c r="L70" i="2"/>
  <c r="M70" i="2"/>
  <c r="N70" i="2"/>
  <c r="O70" i="2"/>
  <c r="Q82" i="2"/>
  <c r="D82" i="2"/>
  <c r="Z82" i="2"/>
  <c r="E82" i="2"/>
  <c r="F82" i="2"/>
  <c r="G82" i="2"/>
  <c r="H82" i="2"/>
  <c r="I82" i="2"/>
  <c r="J82" i="2"/>
  <c r="K82" i="2"/>
  <c r="L82" i="2"/>
  <c r="M82" i="2"/>
  <c r="N82" i="2"/>
  <c r="O82" i="2"/>
  <c r="Q76" i="2"/>
  <c r="D76" i="2"/>
  <c r="Z76" i="2"/>
  <c r="E76" i="2"/>
  <c r="F76" i="2"/>
  <c r="G76" i="2"/>
  <c r="H76" i="2"/>
  <c r="I76" i="2"/>
  <c r="J76" i="2"/>
  <c r="K76" i="2"/>
  <c r="L76" i="2"/>
  <c r="M76" i="2"/>
  <c r="N76" i="2"/>
  <c r="Q75" i="2"/>
  <c r="D75" i="2"/>
  <c r="Z75" i="2"/>
  <c r="E75" i="2"/>
  <c r="F75" i="2"/>
  <c r="G75" i="2"/>
  <c r="H75" i="2"/>
  <c r="I75" i="2"/>
  <c r="J75" i="2"/>
  <c r="K75" i="2"/>
  <c r="L75" i="2"/>
  <c r="M75" i="2"/>
  <c r="N75" i="2"/>
  <c r="O76" i="2"/>
  <c r="O75" i="2"/>
  <c r="Q52" i="2"/>
  <c r="D52" i="2"/>
  <c r="Z52" i="2"/>
  <c r="E52" i="2"/>
  <c r="G52" i="2"/>
  <c r="H52" i="2"/>
  <c r="K52" i="2"/>
  <c r="L52" i="2"/>
  <c r="F52" i="2"/>
  <c r="I52" i="2"/>
  <c r="J52" i="2"/>
  <c r="M52" i="2"/>
  <c r="N52" i="2"/>
  <c r="O52" i="2"/>
  <c r="Q54" i="2"/>
  <c r="D54" i="2"/>
  <c r="Z54" i="2"/>
  <c r="E54" i="2"/>
  <c r="G54" i="2"/>
  <c r="H54" i="2"/>
  <c r="K54" i="2"/>
  <c r="L54" i="2"/>
  <c r="F54" i="2"/>
  <c r="I54" i="2"/>
  <c r="J54" i="2"/>
  <c r="M54" i="2"/>
  <c r="N54" i="2"/>
  <c r="Q53" i="2"/>
  <c r="D53" i="2"/>
  <c r="Z53" i="2"/>
  <c r="E53" i="2"/>
  <c r="G53" i="2"/>
  <c r="H53" i="2"/>
  <c r="K53" i="2"/>
  <c r="L53" i="2"/>
  <c r="F53" i="2"/>
  <c r="I53" i="2"/>
  <c r="J53" i="2"/>
  <c r="M53" i="2"/>
  <c r="N53" i="2"/>
  <c r="Q51" i="2"/>
  <c r="D51" i="2"/>
  <c r="Z51" i="2"/>
  <c r="E51" i="2"/>
  <c r="G51" i="2"/>
  <c r="H51" i="2"/>
  <c r="K51" i="2"/>
  <c r="L51" i="2"/>
  <c r="F51" i="2"/>
  <c r="I51" i="2"/>
  <c r="J51" i="2"/>
  <c r="M51" i="2"/>
  <c r="N51" i="2"/>
  <c r="Q50" i="2"/>
  <c r="D50" i="2"/>
  <c r="Z50" i="2"/>
  <c r="E50" i="2"/>
  <c r="G50" i="2"/>
  <c r="H50" i="2"/>
  <c r="K50" i="2"/>
  <c r="L50" i="2"/>
  <c r="F50" i="2"/>
  <c r="I50" i="2"/>
  <c r="J50" i="2"/>
  <c r="M50" i="2"/>
  <c r="N50" i="2"/>
  <c r="Q49" i="2"/>
  <c r="D49" i="2"/>
  <c r="Z49" i="2"/>
  <c r="E49" i="2"/>
  <c r="G49" i="2"/>
  <c r="H49" i="2"/>
  <c r="K49" i="2"/>
  <c r="L49" i="2"/>
  <c r="F49" i="2"/>
  <c r="I49" i="2"/>
  <c r="J49" i="2"/>
  <c r="M49" i="2"/>
  <c r="N49" i="2"/>
  <c r="O54" i="2"/>
  <c r="O53" i="2"/>
  <c r="O51" i="2"/>
  <c r="O50" i="2"/>
  <c r="O49" i="2"/>
  <c r="Q47" i="2"/>
  <c r="D47" i="2"/>
  <c r="Z47" i="2"/>
  <c r="E47" i="2"/>
  <c r="G47" i="2"/>
  <c r="H47" i="2"/>
  <c r="K47" i="2"/>
  <c r="L47" i="2"/>
  <c r="F47" i="2"/>
  <c r="I47" i="2"/>
  <c r="J47" i="2"/>
  <c r="M47" i="2"/>
  <c r="N47" i="2"/>
  <c r="O47" i="2"/>
  <c r="Q46" i="2"/>
  <c r="D46" i="2"/>
  <c r="Z46" i="2"/>
  <c r="E46" i="2"/>
  <c r="G46" i="2"/>
  <c r="H46" i="2"/>
  <c r="K46" i="2"/>
  <c r="L46" i="2"/>
  <c r="F46" i="2"/>
  <c r="I46" i="2"/>
  <c r="J46" i="2"/>
  <c r="M46" i="2"/>
  <c r="N46" i="2"/>
  <c r="O46" i="2"/>
  <c r="Q45" i="2"/>
  <c r="D45" i="2"/>
  <c r="Z45" i="2"/>
  <c r="E45" i="2"/>
  <c r="G45" i="2"/>
  <c r="H45" i="2"/>
  <c r="K45" i="2"/>
  <c r="L45" i="2"/>
  <c r="F45" i="2"/>
  <c r="I45" i="2"/>
  <c r="J45" i="2"/>
  <c r="M45" i="2"/>
  <c r="N45" i="2"/>
  <c r="O45" i="2"/>
  <c r="Q43" i="2"/>
  <c r="D43" i="2"/>
  <c r="Z43" i="2"/>
  <c r="E43" i="2"/>
  <c r="G43" i="2"/>
  <c r="H43" i="2"/>
  <c r="K43" i="2"/>
  <c r="L43" i="2"/>
  <c r="F43" i="2"/>
  <c r="I43" i="2"/>
  <c r="J43" i="2"/>
  <c r="M43" i="2"/>
  <c r="N43" i="2"/>
  <c r="O43" i="2"/>
  <c r="Q42" i="2"/>
  <c r="D42" i="2"/>
  <c r="Z42" i="2"/>
  <c r="E42" i="2"/>
  <c r="G42" i="2"/>
  <c r="H42" i="2"/>
  <c r="K42" i="2"/>
  <c r="L42" i="2"/>
  <c r="F42" i="2"/>
  <c r="I42" i="2"/>
  <c r="J42" i="2"/>
  <c r="M42" i="2"/>
  <c r="N42" i="2"/>
  <c r="Q41" i="2"/>
  <c r="D41" i="2"/>
  <c r="Z41" i="2"/>
  <c r="E41" i="2"/>
  <c r="G41" i="2"/>
  <c r="H41" i="2"/>
  <c r="K41" i="2"/>
  <c r="L41" i="2"/>
  <c r="F41" i="2"/>
  <c r="I41" i="2"/>
  <c r="J41" i="2"/>
  <c r="M41" i="2"/>
  <c r="N41" i="2"/>
  <c r="Q40" i="2"/>
  <c r="D40" i="2"/>
  <c r="Z40" i="2"/>
  <c r="E40" i="2"/>
  <c r="G40" i="2"/>
  <c r="H40" i="2"/>
  <c r="K40" i="2"/>
  <c r="L40" i="2"/>
  <c r="F40" i="2"/>
  <c r="I40" i="2"/>
  <c r="J40" i="2"/>
  <c r="M40" i="2"/>
  <c r="N40" i="2"/>
  <c r="O42" i="2"/>
  <c r="O41" i="2"/>
  <c r="O40" i="2"/>
  <c r="Q37" i="2"/>
  <c r="D37" i="2"/>
  <c r="Z37" i="2"/>
  <c r="E37" i="2"/>
  <c r="G37" i="2"/>
  <c r="H37" i="2"/>
  <c r="K37" i="2"/>
  <c r="L37" i="2"/>
  <c r="F37" i="2"/>
  <c r="I37" i="2"/>
  <c r="J37" i="2"/>
  <c r="M37" i="2"/>
  <c r="N37" i="2"/>
  <c r="O37" i="2"/>
  <c r="Q35" i="2"/>
  <c r="D35" i="2"/>
  <c r="Z35" i="2"/>
  <c r="E35" i="2"/>
  <c r="G35" i="2"/>
  <c r="H35" i="2"/>
  <c r="K35" i="2"/>
  <c r="L35" i="2"/>
  <c r="F35" i="2"/>
  <c r="I35" i="2"/>
  <c r="J35" i="2"/>
  <c r="M35" i="2"/>
  <c r="N35" i="2"/>
  <c r="Q34" i="2"/>
  <c r="D34" i="2"/>
  <c r="Z34" i="2"/>
  <c r="E34" i="2"/>
  <c r="G34" i="2"/>
  <c r="H34" i="2"/>
  <c r="K34" i="2"/>
  <c r="L34" i="2"/>
  <c r="F34" i="2"/>
  <c r="I34" i="2"/>
  <c r="J34" i="2"/>
  <c r="M34" i="2"/>
  <c r="N34" i="2"/>
  <c r="Q33" i="2"/>
  <c r="D33" i="2"/>
  <c r="Z33" i="2"/>
  <c r="E33" i="2"/>
  <c r="G33" i="2"/>
  <c r="H33" i="2"/>
  <c r="K33" i="2"/>
  <c r="L33" i="2"/>
  <c r="F33" i="2"/>
  <c r="I33" i="2"/>
  <c r="J33" i="2"/>
  <c r="M33" i="2"/>
  <c r="N33" i="2"/>
  <c r="O35" i="2"/>
  <c r="O34" i="2"/>
  <c r="O33" i="2"/>
  <c r="Q193" i="2"/>
  <c r="D193" i="2"/>
  <c r="Z193" i="2"/>
  <c r="E193" i="2"/>
  <c r="F193" i="2"/>
  <c r="G193" i="2"/>
  <c r="H193" i="2"/>
  <c r="I193" i="2"/>
  <c r="J193" i="2"/>
  <c r="K193" i="2"/>
  <c r="L193" i="2"/>
  <c r="M193" i="2"/>
  <c r="N193" i="2"/>
  <c r="Q192" i="2"/>
  <c r="D192" i="2"/>
  <c r="Z192" i="2"/>
  <c r="E192" i="2"/>
  <c r="F192" i="2"/>
  <c r="G192" i="2"/>
  <c r="H192" i="2"/>
  <c r="I192" i="2"/>
  <c r="J192" i="2"/>
  <c r="K192" i="2"/>
  <c r="L192" i="2"/>
  <c r="M192" i="2"/>
  <c r="N192" i="2"/>
  <c r="Q190" i="2"/>
  <c r="D190" i="2"/>
  <c r="Z190" i="2"/>
  <c r="E190" i="2"/>
  <c r="F190" i="2"/>
  <c r="G190" i="2"/>
  <c r="H190" i="2"/>
  <c r="I190" i="2"/>
  <c r="J190" i="2"/>
  <c r="K190" i="2"/>
  <c r="L190" i="2"/>
  <c r="M190" i="2"/>
  <c r="N190" i="2"/>
  <c r="Q178" i="2"/>
  <c r="D178" i="2"/>
  <c r="Z178" i="2"/>
  <c r="E178" i="2"/>
  <c r="F178" i="2"/>
  <c r="G178" i="2"/>
  <c r="H178" i="2"/>
  <c r="I178" i="2"/>
  <c r="J178" i="2"/>
  <c r="K178" i="2"/>
  <c r="L178" i="2"/>
  <c r="M178" i="2"/>
  <c r="N178" i="2"/>
  <c r="Q170" i="2"/>
  <c r="D170" i="2"/>
  <c r="Z170" i="2"/>
  <c r="E170" i="2"/>
  <c r="F170" i="2"/>
  <c r="G170" i="2"/>
  <c r="H170" i="2"/>
  <c r="I170" i="2"/>
  <c r="J170" i="2"/>
  <c r="K170" i="2"/>
  <c r="L170" i="2"/>
  <c r="M170" i="2"/>
  <c r="N170" i="2"/>
  <c r="Q164" i="2"/>
  <c r="D164" i="2"/>
  <c r="Z164" i="2"/>
  <c r="E164" i="2"/>
  <c r="F164" i="2"/>
  <c r="G164" i="2"/>
  <c r="H164" i="2"/>
  <c r="I164" i="2"/>
  <c r="J164" i="2"/>
  <c r="K164" i="2"/>
  <c r="L164" i="2"/>
  <c r="M164" i="2"/>
  <c r="N164" i="2"/>
  <c r="Q150" i="2"/>
  <c r="D150" i="2"/>
  <c r="Z150" i="2"/>
  <c r="E150" i="2"/>
  <c r="F150" i="2"/>
  <c r="G150" i="2"/>
  <c r="H150" i="2"/>
  <c r="I150" i="2"/>
  <c r="J150" i="2"/>
  <c r="K150" i="2"/>
  <c r="L150" i="2"/>
  <c r="M150" i="2"/>
  <c r="N150" i="2"/>
  <c r="Q126" i="2"/>
  <c r="D126" i="2"/>
  <c r="Z126" i="2"/>
  <c r="E126" i="2"/>
  <c r="F126" i="2"/>
  <c r="G126" i="2"/>
  <c r="H126" i="2"/>
  <c r="I126" i="2"/>
  <c r="J126" i="2"/>
  <c r="K126" i="2"/>
  <c r="L126" i="2"/>
  <c r="M126" i="2"/>
  <c r="N126" i="2"/>
  <c r="Q119" i="2"/>
  <c r="D119" i="2"/>
  <c r="Z119" i="2"/>
  <c r="E119" i="2"/>
  <c r="F119" i="2"/>
  <c r="G119" i="2"/>
  <c r="H119" i="2"/>
  <c r="I119" i="2"/>
  <c r="J119" i="2"/>
  <c r="K119" i="2"/>
  <c r="L119" i="2"/>
  <c r="M119" i="2"/>
  <c r="N119" i="2"/>
  <c r="Q114" i="2"/>
  <c r="D114" i="2"/>
  <c r="Z114" i="2"/>
  <c r="E114" i="2"/>
  <c r="F114" i="2"/>
  <c r="G114" i="2"/>
  <c r="H114" i="2"/>
  <c r="I114" i="2"/>
  <c r="J114" i="2"/>
  <c r="K114" i="2"/>
  <c r="L114" i="2"/>
  <c r="M114" i="2"/>
  <c r="N114" i="2"/>
  <c r="Q112" i="2"/>
  <c r="D112" i="2"/>
  <c r="Z112" i="2"/>
  <c r="E112" i="2"/>
  <c r="F112" i="2"/>
  <c r="G112" i="2"/>
  <c r="H112" i="2"/>
  <c r="I112" i="2"/>
  <c r="J112" i="2"/>
  <c r="K112" i="2"/>
  <c r="L112" i="2"/>
  <c r="M112" i="2"/>
  <c r="N112" i="2"/>
  <c r="Q74" i="2"/>
  <c r="D74" i="2"/>
  <c r="Z74" i="2"/>
  <c r="E74" i="2"/>
  <c r="F74" i="2"/>
  <c r="G74" i="2"/>
  <c r="H74" i="2"/>
  <c r="I74" i="2"/>
  <c r="J74" i="2"/>
  <c r="K74" i="2"/>
  <c r="L74" i="2"/>
  <c r="M74" i="2"/>
  <c r="N74" i="2"/>
  <c r="Q48" i="2"/>
  <c r="D48" i="2"/>
  <c r="Z48" i="2"/>
  <c r="E48" i="2"/>
  <c r="F48" i="2"/>
  <c r="G48" i="2"/>
  <c r="H48" i="2"/>
  <c r="I48" i="2"/>
  <c r="J48" i="2"/>
  <c r="K48" i="2"/>
  <c r="L48" i="2"/>
  <c r="M48" i="2"/>
  <c r="N48" i="2"/>
  <c r="Q44" i="2"/>
  <c r="D44" i="2"/>
  <c r="Z44" i="2"/>
  <c r="E44" i="2"/>
  <c r="F44" i="2"/>
  <c r="G44" i="2"/>
  <c r="H44" i="2"/>
  <c r="I44" i="2"/>
  <c r="J44" i="2"/>
  <c r="K44" i="2"/>
  <c r="L44" i="2"/>
  <c r="M44" i="2"/>
  <c r="N44" i="2"/>
  <c r="Q39" i="2"/>
  <c r="D39" i="2"/>
  <c r="Z39" i="2"/>
  <c r="E39" i="2"/>
  <c r="F39" i="2"/>
  <c r="G39" i="2"/>
  <c r="H39" i="2"/>
  <c r="I39" i="2"/>
  <c r="J39" i="2"/>
  <c r="K39" i="2"/>
  <c r="L39" i="2"/>
  <c r="M39" i="2"/>
  <c r="N39" i="2"/>
  <c r="Q38" i="2"/>
  <c r="D38" i="2"/>
  <c r="Z38" i="2"/>
  <c r="E38" i="2"/>
  <c r="F38" i="2"/>
  <c r="G38" i="2"/>
  <c r="H38" i="2"/>
  <c r="I38" i="2"/>
  <c r="J38" i="2"/>
  <c r="K38" i="2"/>
  <c r="L38" i="2"/>
  <c r="M38" i="2"/>
  <c r="N38" i="2"/>
  <c r="Q36" i="2"/>
  <c r="D36" i="2"/>
  <c r="Z36" i="2"/>
  <c r="E36" i="2"/>
  <c r="F36" i="2"/>
  <c r="G36" i="2"/>
  <c r="H36" i="2"/>
  <c r="I36" i="2"/>
  <c r="J36" i="2"/>
  <c r="K36" i="2"/>
  <c r="L36" i="2"/>
  <c r="M36" i="2"/>
  <c r="N36" i="2"/>
  <c r="Q31" i="2"/>
  <c r="D31" i="2"/>
  <c r="Z31" i="2"/>
  <c r="E31" i="2"/>
  <c r="G31" i="2"/>
  <c r="H31" i="2"/>
  <c r="K31" i="2"/>
  <c r="L31" i="2"/>
  <c r="F31" i="2"/>
  <c r="I31" i="2"/>
  <c r="J31" i="2"/>
  <c r="M31" i="2"/>
  <c r="N31" i="2"/>
  <c r="Q32" i="2"/>
  <c r="D32" i="2"/>
  <c r="Z32" i="2"/>
  <c r="E32" i="2"/>
  <c r="G32" i="2"/>
  <c r="H32" i="2"/>
  <c r="K32" i="2"/>
  <c r="L32" i="2"/>
  <c r="F32" i="2"/>
  <c r="I32" i="2"/>
  <c r="J32" i="2"/>
  <c r="M32" i="2"/>
  <c r="N32" i="2"/>
  <c r="Q30" i="2"/>
  <c r="D30" i="2"/>
  <c r="Z30" i="2"/>
  <c r="E30" i="2"/>
  <c r="G30" i="2"/>
  <c r="H30" i="2"/>
  <c r="K30" i="2"/>
  <c r="L30" i="2"/>
  <c r="F30" i="2"/>
  <c r="I30" i="2"/>
  <c r="J30" i="2"/>
  <c r="M30" i="2"/>
  <c r="N30" i="2"/>
  <c r="Q29" i="2"/>
  <c r="D29" i="2"/>
  <c r="Z29" i="2"/>
  <c r="E29" i="2"/>
  <c r="G29" i="2"/>
  <c r="H29" i="2"/>
  <c r="K29" i="2"/>
  <c r="L29" i="2"/>
  <c r="F29" i="2"/>
  <c r="I29" i="2"/>
  <c r="J29" i="2"/>
  <c r="M29" i="2"/>
  <c r="N29" i="2"/>
  <c r="Q28" i="2"/>
  <c r="D28" i="2"/>
  <c r="Z28" i="2"/>
  <c r="E28" i="2"/>
  <c r="F28" i="2"/>
  <c r="G28" i="2"/>
  <c r="H28" i="2"/>
  <c r="I28" i="2"/>
  <c r="J28" i="2"/>
  <c r="K28" i="2"/>
  <c r="L28" i="2"/>
  <c r="M28" i="2"/>
  <c r="N28" i="2"/>
  <c r="O170" i="2"/>
  <c r="O193" i="2"/>
  <c r="O192" i="2"/>
  <c r="O190" i="2"/>
  <c r="O178" i="2"/>
  <c r="O119" i="2"/>
  <c r="O164" i="2"/>
  <c r="O48" i="2"/>
  <c r="O44" i="2"/>
  <c r="O31" i="2"/>
  <c r="O32" i="2"/>
  <c r="O30" i="2"/>
  <c r="O29" i="2"/>
  <c r="O28" i="2"/>
  <c r="Q27" i="2"/>
  <c r="D27" i="2"/>
  <c r="Z27" i="2"/>
  <c r="E27" i="2"/>
  <c r="F27" i="2"/>
  <c r="G27" i="2"/>
  <c r="H27" i="2"/>
  <c r="I27" i="2"/>
  <c r="J27" i="2"/>
  <c r="K27" i="2"/>
  <c r="L27" i="2"/>
  <c r="M27" i="2"/>
  <c r="N27" i="2"/>
  <c r="O27" i="2"/>
  <c r="Q26" i="2"/>
  <c r="D26" i="2"/>
  <c r="Z26" i="2"/>
  <c r="E26" i="2"/>
  <c r="G26" i="2"/>
  <c r="H26" i="2"/>
  <c r="K26" i="2"/>
  <c r="L26" i="2"/>
  <c r="F26" i="2"/>
  <c r="I26" i="2"/>
  <c r="J26" i="2"/>
  <c r="M26" i="2"/>
  <c r="N26" i="2"/>
  <c r="Q25" i="2"/>
  <c r="D25" i="2"/>
  <c r="Z25" i="2"/>
  <c r="E25" i="2"/>
  <c r="G25" i="2"/>
  <c r="H25" i="2"/>
  <c r="K25" i="2"/>
  <c r="L25" i="2"/>
  <c r="F25" i="2"/>
  <c r="I25" i="2"/>
  <c r="J25" i="2"/>
  <c r="M25" i="2"/>
  <c r="N25" i="2"/>
  <c r="O25" i="2"/>
  <c r="Q24" i="2"/>
  <c r="D24" i="2"/>
  <c r="Z24" i="2"/>
  <c r="E24" i="2"/>
  <c r="G24" i="2"/>
  <c r="H24" i="2"/>
  <c r="K24" i="2"/>
  <c r="L24" i="2"/>
  <c r="F24" i="2"/>
  <c r="I24" i="2"/>
  <c r="J24" i="2"/>
  <c r="M24" i="2"/>
  <c r="N24" i="2"/>
  <c r="O24" i="2"/>
  <c r="Q23" i="2"/>
  <c r="D23" i="2"/>
  <c r="Z23" i="2"/>
  <c r="E23" i="2"/>
  <c r="F23" i="2"/>
  <c r="G23" i="2"/>
  <c r="H23" i="2"/>
  <c r="I23" i="2"/>
  <c r="J23" i="2"/>
  <c r="K23" i="2"/>
  <c r="L23" i="2"/>
  <c r="M23" i="2"/>
  <c r="N23" i="2"/>
  <c r="O23" i="2"/>
  <c r="Q22" i="2"/>
  <c r="D22" i="2"/>
  <c r="Z22" i="2"/>
  <c r="E22" i="2"/>
  <c r="G22" i="2"/>
  <c r="H22" i="2"/>
  <c r="K22" i="2"/>
  <c r="L22" i="2"/>
  <c r="F22" i="2"/>
  <c r="I22" i="2"/>
  <c r="J22" i="2"/>
  <c r="M22" i="2"/>
  <c r="N22" i="2"/>
  <c r="O22" i="2"/>
  <c r="Q21" i="2"/>
  <c r="D21" i="2"/>
  <c r="Z21" i="2"/>
  <c r="E21" i="2"/>
  <c r="G21" i="2"/>
  <c r="H21" i="2"/>
  <c r="K21" i="2"/>
  <c r="L21" i="2"/>
  <c r="F21" i="2"/>
  <c r="I21" i="2"/>
  <c r="J21" i="2"/>
  <c r="M21" i="2"/>
  <c r="N21" i="2"/>
  <c r="O21" i="2"/>
  <c r="Q20" i="2"/>
  <c r="D20" i="2"/>
  <c r="Z20" i="2"/>
  <c r="E20" i="2"/>
  <c r="G20" i="2"/>
  <c r="H20" i="2"/>
  <c r="K20" i="2"/>
  <c r="L20" i="2"/>
  <c r="F20" i="2"/>
  <c r="I20" i="2"/>
  <c r="J20" i="2"/>
  <c r="M20" i="2"/>
  <c r="N20" i="2"/>
  <c r="O20" i="2"/>
  <c r="Q18" i="2"/>
  <c r="Q19" i="2"/>
  <c r="D19" i="2"/>
  <c r="Z19" i="2"/>
  <c r="E19" i="2"/>
  <c r="G19" i="2"/>
  <c r="H19" i="2"/>
  <c r="K19" i="2"/>
  <c r="L19" i="2"/>
  <c r="F19" i="2"/>
  <c r="I19" i="2"/>
  <c r="J19" i="2"/>
  <c r="M19" i="2"/>
  <c r="N19" i="2"/>
  <c r="D18" i="2"/>
  <c r="Z18" i="2"/>
  <c r="E18" i="2"/>
  <c r="G18" i="2"/>
  <c r="H18" i="2"/>
  <c r="K18" i="2"/>
  <c r="L18" i="2"/>
  <c r="F18" i="2"/>
  <c r="I18" i="2"/>
  <c r="J18" i="2"/>
  <c r="M18" i="2"/>
  <c r="N18" i="2"/>
  <c r="Q17" i="2"/>
  <c r="D17" i="2"/>
  <c r="Z17" i="2"/>
  <c r="E17" i="2"/>
  <c r="G17" i="2"/>
  <c r="H17" i="2"/>
  <c r="K17" i="2"/>
  <c r="L17" i="2"/>
  <c r="F17" i="2"/>
  <c r="I17" i="2"/>
  <c r="J17" i="2"/>
  <c r="M17" i="2"/>
  <c r="N17" i="2"/>
  <c r="Q16" i="2"/>
  <c r="D16" i="2"/>
  <c r="Z16" i="2"/>
  <c r="E16" i="2"/>
  <c r="G16" i="2"/>
  <c r="H16" i="2"/>
  <c r="K16" i="2"/>
  <c r="L16" i="2"/>
  <c r="F16" i="2"/>
  <c r="I16" i="2"/>
  <c r="J16" i="2"/>
  <c r="M16" i="2"/>
  <c r="N16" i="2"/>
  <c r="Q12" i="2"/>
  <c r="D12" i="2"/>
  <c r="Z12" i="2"/>
  <c r="E12" i="2"/>
  <c r="G12" i="2"/>
  <c r="H12" i="2"/>
  <c r="K12" i="2"/>
  <c r="L12" i="2"/>
  <c r="F12" i="2"/>
  <c r="I12" i="2"/>
  <c r="J12" i="2"/>
  <c r="M12" i="2"/>
  <c r="N12" i="2"/>
  <c r="Q13" i="2"/>
  <c r="D13" i="2"/>
  <c r="Z13" i="2"/>
  <c r="E13" i="2"/>
  <c r="G13" i="2"/>
  <c r="H13" i="2"/>
  <c r="K13" i="2"/>
  <c r="L13" i="2"/>
  <c r="F13" i="2"/>
  <c r="I13" i="2"/>
  <c r="J13" i="2"/>
  <c r="M13" i="2"/>
  <c r="N13" i="2"/>
  <c r="Q15" i="2"/>
  <c r="D15" i="2"/>
  <c r="Z15" i="2"/>
  <c r="E15" i="2"/>
  <c r="G15" i="2"/>
  <c r="H15" i="2"/>
  <c r="K15" i="2"/>
  <c r="L15" i="2"/>
  <c r="F15" i="2"/>
  <c r="I15" i="2"/>
  <c r="J15" i="2"/>
  <c r="M15" i="2"/>
  <c r="N15" i="2"/>
  <c r="Q14" i="2"/>
  <c r="D14" i="2"/>
  <c r="Z14" i="2"/>
  <c r="E14" i="2"/>
  <c r="G14" i="2"/>
  <c r="H14" i="2"/>
  <c r="K14" i="2"/>
  <c r="L14" i="2"/>
  <c r="F14" i="2"/>
  <c r="I14" i="2"/>
  <c r="J14" i="2"/>
  <c r="M14" i="2"/>
  <c r="N14" i="2"/>
  <c r="Q11" i="2"/>
  <c r="D11" i="2"/>
  <c r="Z11" i="2"/>
  <c r="E11" i="2"/>
  <c r="G11" i="2"/>
  <c r="H11" i="2"/>
  <c r="K11" i="2"/>
  <c r="L11" i="2"/>
  <c r="F11" i="2"/>
  <c r="I11" i="2"/>
  <c r="J11" i="2"/>
  <c r="M11" i="2"/>
  <c r="N11" i="2"/>
  <c r="Q10" i="2"/>
  <c r="D10" i="2"/>
  <c r="Z10" i="2"/>
  <c r="E10" i="2"/>
  <c r="G10" i="2"/>
  <c r="H10" i="2"/>
  <c r="K10" i="2"/>
  <c r="L10" i="2"/>
  <c r="F10" i="2"/>
  <c r="I10" i="2"/>
  <c r="J10" i="2"/>
  <c r="M10" i="2"/>
  <c r="N10" i="2"/>
  <c r="Q147" i="2"/>
  <c r="D147" i="2"/>
  <c r="Z147" i="2"/>
  <c r="E147" i="2"/>
  <c r="F147" i="2"/>
  <c r="G147" i="2"/>
  <c r="H147" i="2"/>
  <c r="I147" i="2"/>
  <c r="J147" i="2"/>
  <c r="K147" i="2"/>
  <c r="L147" i="2"/>
  <c r="M147" i="2"/>
  <c r="N147" i="2"/>
  <c r="Q148" i="2"/>
  <c r="D148" i="2"/>
  <c r="Z148" i="2"/>
  <c r="E148" i="2"/>
  <c r="F148" i="2"/>
  <c r="G148" i="2"/>
  <c r="H148" i="2"/>
  <c r="I148" i="2"/>
  <c r="J148" i="2"/>
  <c r="K148" i="2"/>
  <c r="L148" i="2"/>
  <c r="M148" i="2"/>
  <c r="N148" i="2"/>
  <c r="Q146" i="2"/>
  <c r="D146" i="2"/>
  <c r="Z146" i="2"/>
  <c r="E146" i="2"/>
  <c r="F146" i="2"/>
  <c r="G146" i="2"/>
  <c r="H146" i="2"/>
  <c r="I146" i="2"/>
  <c r="J146" i="2"/>
  <c r="K146" i="2"/>
  <c r="L146" i="2"/>
  <c r="M146" i="2"/>
  <c r="N146" i="2"/>
  <c r="Q111" i="2"/>
  <c r="D111" i="2"/>
  <c r="Z111" i="2"/>
  <c r="E111" i="2"/>
  <c r="F111" i="2"/>
  <c r="G111" i="2"/>
  <c r="H111" i="2"/>
  <c r="I111" i="2"/>
  <c r="J111" i="2"/>
  <c r="K111" i="2"/>
  <c r="L111" i="2"/>
  <c r="M111" i="2"/>
  <c r="N111" i="2"/>
  <c r="Q67" i="2"/>
  <c r="D67" i="2"/>
  <c r="Z67" i="2"/>
  <c r="E67" i="2"/>
  <c r="F67" i="2"/>
  <c r="G67" i="2"/>
  <c r="H67" i="2"/>
  <c r="I67" i="2"/>
  <c r="J67" i="2"/>
  <c r="K67" i="2"/>
  <c r="L67" i="2"/>
  <c r="M67" i="2"/>
  <c r="N67" i="2"/>
  <c r="Q9" i="2"/>
  <c r="D9" i="2"/>
  <c r="Z9" i="2"/>
  <c r="E9" i="2"/>
  <c r="F9" i="2"/>
  <c r="G9" i="2"/>
  <c r="H9" i="2"/>
  <c r="I9" i="2"/>
  <c r="J9" i="2"/>
  <c r="K9" i="2"/>
  <c r="L9" i="2"/>
  <c r="M9" i="2"/>
  <c r="N9" i="2"/>
  <c r="Q8" i="2"/>
  <c r="D8" i="2"/>
  <c r="Z8" i="2"/>
  <c r="E8" i="2"/>
  <c r="F8" i="2"/>
  <c r="G8" i="2"/>
  <c r="H8" i="2"/>
  <c r="I8" i="2"/>
  <c r="J8" i="2"/>
  <c r="K8" i="2"/>
  <c r="L8" i="2"/>
  <c r="M8" i="2"/>
  <c r="N8" i="2"/>
  <c r="Q7" i="2"/>
  <c r="D7" i="2"/>
  <c r="Z7" i="2"/>
  <c r="E7" i="2"/>
  <c r="F7" i="2"/>
  <c r="G7" i="2"/>
  <c r="H7" i="2"/>
  <c r="I7" i="2"/>
  <c r="J7" i="2"/>
  <c r="K7" i="2"/>
  <c r="L7" i="2"/>
  <c r="M7" i="2"/>
  <c r="N7" i="2"/>
  <c r="Q6" i="2"/>
  <c r="D6" i="2"/>
  <c r="Z6" i="2"/>
  <c r="E6" i="2"/>
  <c r="F6" i="2"/>
  <c r="G6" i="2"/>
  <c r="H6" i="2"/>
  <c r="I6" i="2"/>
  <c r="J6" i="2"/>
  <c r="K6" i="2"/>
  <c r="L6" i="2"/>
  <c r="M6" i="2"/>
  <c r="N6" i="2"/>
  <c r="Q5" i="2"/>
  <c r="D5" i="2"/>
  <c r="Z5" i="2"/>
  <c r="E5" i="2"/>
  <c r="F5" i="2"/>
  <c r="G5" i="2"/>
  <c r="H5" i="2"/>
  <c r="I5" i="2"/>
  <c r="J5" i="2"/>
  <c r="K5" i="2"/>
  <c r="L5" i="2"/>
  <c r="M5" i="2"/>
  <c r="N5" i="2"/>
  <c r="Q4" i="2"/>
  <c r="D4" i="2"/>
  <c r="Z4" i="2"/>
  <c r="E4" i="2"/>
  <c r="F4" i="2"/>
  <c r="G4" i="2"/>
  <c r="H4" i="2"/>
  <c r="I4" i="2"/>
  <c r="J4" i="2"/>
  <c r="K4" i="2"/>
  <c r="L4" i="2"/>
  <c r="M4" i="2"/>
  <c r="N4" i="2"/>
  <c r="Q3" i="2"/>
  <c r="D3" i="2"/>
  <c r="Z3" i="2"/>
  <c r="E3" i="2"/>
  <c r="F3" i="2"/>
  <c r="G3" i="2"/>
  <c r="H3" i="2"/>
  <c r="I3" i="2"/>
  <c r="J3" i="2"/>
  <c r="K3" i="2"/>
  <c r="L3" i="2"/>
  <c r="M3" i="2"/>
  <c r="N3" i="2"/>
  <c r="Q2" i="2"/>
  <c r="D2" i="2"/>
  <c r="Z2" i="2"/>
  <c r="E2" i="2"/>
  <c r="F2" i="2"/>
  <c r="G2" i="2"/>
  <c r="H2" i="2"/>
  <c r="I2" i="2"/>
  <c r="J2" i="2"/>
  <c r="K2" i="2"/>
  <c r="L2" i="2"/>
  <c r="M2" i="2"/>
  <c r="N2" i="2"/>
  <c r="O2" i="2"/>
  <c r="O19" i="2"/>
  <c r="O18" i="2"/>
  <c r="O17" i="2"/>
  <c r="O16" i="2"/>
  <c r="O12" i="2"/>
  <c r="O13" i="2"/>
  <c r="O15" i="2"/>
  <c r="O14" i="2"/>
  <c r="O11" i="2"/>
  <c r="O10" i="2"/>
  <c r="O9" i="2"/>
  <c r="O8" i="2"/>
  <c r="O7" i="2"/>
  <c r="O6" i="2"/>
  <c r="O5" i="2"/>
  <c r="O4" i="2"/>
  <c r="O3" i="2"/>
  <c r="O147" i="2"/>
  <c r="O26" i="2"/>
  <c r="O114" i="2"/>
  <c r="O126" i="2"/>
  <c r="O148" i="2"/>
  <c r="O74" i="2"/>
  <c r="O112" i="2"/>
  <c r="O36" i="2"/>
  <c r="O150" i="2"/>
  <c r="O39" i="2"/>
  <c r="O146" i="2"/>
  <c r="O67" i="2"/>
  <c r="O38" i="2"/>
  <c r="R9" i="1"/>
  <c r="E9" i="1"/>
  <c r="AA9" i="1"/>
  <c r="F9" i="1"/>
  <c r="G9" i="1"/>
  <c r="H9" i="1"/>
  <c r="I9" i="1"/>
  <c r="J9" i="1"/>
  <c r="K9" i="1"/>
  <c r="L9" i="1"/>
  <c r="M9" i="1"/>
  <c r="N9" i="1"/>
  <c r="O111" i="2"/>
  <c r="BA85" i="1"/>
  <c r="BO185" i="1"/>
  <c r="R281" i="1"/>
  <c r="E281" i="1"/>
  <c r="AA281" i="1"/>
  <c r="F281" i="1"/>
  <c r="G281" i="1"/>
  <c r="H281" i="1"/>
  <c r="I281" i="1"/>
  <c r="J281" i="1"/>
  <c r="K281" i="1"/>
  <c r="L281" i="1"/>
  <c r="M281" i="1"/>
  <c r="N281" i="1"/>
  <c r="O281" i="1"/>
  <c r="P281" i="1"/>
  <c r="R282" i="1"/>
  <c r="E282" i="1"/>
  <c r="AA282" i="1"/>
  <c r="F282" i="1"/>
  <c r="G282" i="1"/>
  <c r="H282" i="1"/>
  <c r="I282" i="1"/>
  <c r="J282" i="1"/>
  <c r="K282" i="1"/>
  <c r="L282" i="1"/>
  <c r="M282" i="1"/>
  <c r="N282" i="1"/>
  <c r="O282" i="1"/>
  <c r="P282" i="1"/>
  <c r="R284" i="1"/>
  <c r="E284" i="1"/>
  <c r="AA284" i="1"/>
  <c r="F284" i="1"/>
  <c r="G284" i="1"/>
  <c r="H284" i="1"/>
  <c r="I284" i="1"/>
  <c r="J284" i="1"/>
  <c r="K284" i="1"/>
  <c r="L284" i="1"/>
  <c r="M284" i="1"/>
  <c r="N284" i="1"/>
  <c r="O284" i="1"/>
  <c r="P284" i="1"/>
  <c r="R285" i="1"/>
  <c r="E285" i="1"/>
  <c r="AA285" i="1"/>
  <c r="F285" i="1"/>
  <c r="G285" i="1"/>
  <c r="H285" i="1"/>
  <c r="I285" i="1"/>
  <c r="J285" i="1"/>
  <c r="K285" i="1"/>
  <c r="L285" i="1"/>
  <c r="M285" i="1"/>
  <c r="N285" i="1"/>
  <c r="O285" i="1"/>
  <c r="P285" i="1"/>
  <c r="R286" i="1"/>
  <c r="E286" i="1"/>
  <c r="AA286" i="1"/>
  <c r="F286" i="1"/>
  <c r="G286" i="1"/>
  <c r="H286" i="1"/>
  <c r="I286" i="1"/>
  <c r="J286" i="1"/>
  <c r="K286" i="1"/>
  <c r="L286" i="1"/>
  <c r="M286" i="1"/>
  <c r="N286" i="1"/>
  <c r="O286" i="1"/>
  <c r="P286" i="1"/>
  <c r="R277" i="1"/>
  <c r="E277" i="1"/>
  <c r="AA277" i="1"/>
  <c r="F277" i="1"/>
  <c r="G277" i="1"/>
  <c r="H277" i="1"/>
  <c r="I277" i="1"/>
  <c r="J277" i="1"/>
  <c r="K277" i="1"/>
  <c r="L277" i="1"/>
  <c r="M277" i="1"/>
  <c r="N277" i="1"/>
  <c r="O277" i="1"/>
  <c r="P277" i="1"/>
  <c r="R278" i="1"/>
  <c r="E278" i="1"/>
  <c r="AA278" i="1"/>
  <c r="F278" i="1"/>
  <c r="G278" i="1"/>
  <c r="H278" i="1"/>
  <c r="I278" i="1"/>
  <c r="J278" i="1"/>
  <c r="K278" i="1"/>
  <c r="L278" i="1"/>
  <c r="M278" i="1"/>
  <c r="N278" i="1"/>
  <c r="O278" i="1"/>
  <c r="P278" i="1"/>
  <c r="R280" i="1"/>
  <c r="E280" i="1"/>
  <c r="AA280" i="1"/>
  <c r="F280" i="1"/>
  <c r="G280" i="1"/>
  <c r="H280" i="1"/>
  <c r="I280" i="1"/>
  <c r="J280" i="1"/>
  <c r="K280" i="1"/>
  <c r="L280" i="1"/>
  <c r="M280" i="1"/>
  <c r="N280" i="1"/>
  <c r="O280" i="1"/>
  <c r="P280" i="1"/>
  <c r="R274" i="1"/>
  <c r="E274" i="1"/>
  <c r="AA274" i="1"/>
  <c r="F274" i="1"/>
  <c r="G274" i="1"/>
  <c r="H274" i="1"/>
  <c r="I274" i="1"/>
  <c r="J274" i="1"/>
  <c r="K274" i="1"/>
  <c r="L274" i="1"/>
  <c r="M274" i="1"/>
  <c r="N274" i="1"/>
  <c r="O274" i="1"/>
  <c r="P274" i="1"/>
  <c r="R268" i="1"/>
  <c r="E268" i="1"/>
  <c r="AA268" i="1"/>
  <c r="F268" i="1"/>
  <c r="G268" i="1"/>
  <c r="H268" i="1"/>
  <c r="I268" i="1"/>
  <c r="J268" i="1"/>
  <c r="K268" i="1"/>
  <c r="L268" i="1"/>
  <c r="M268" i="1"/>
  <c r="N268" i="1"/>
  <c r="O268" i="1"/>
  <c r="P268" i="1"/>
  <c r="R265" i="1"/>
  <c r="E265" i="1"/>
  <c r="AA265" i="1"/>
  <c r="F265" i="1"/>
  <c r="G265" i="1"/>
  <c r="H265" i="1"/>
  <c r="I265" i="1"/>
  <c r="J265" i="1"/>
  <c r="K265" i="1"/>
  <c r="L265" i="1"/>
  <c r="M265" i="1"/>
  <c r="N265" i="1"/>
  <c r="O265" i="1"/>
  <c r="P265" i="1"/>
  <c r="R260" i="1"/>
  <c r="E260" i="1"/>
  <c r="AA260" i="1"/>
  <c r="F260" i="1"/>
  <c r="G260" i="1"/>
  <c r="H260" i="1"/>
  <c r="I260" i="1"/>
  <c r="J260" i="1"/>
  <c r="K260" i="1"/>
  <c r="L260" i="1"/>
  <c r="M260" i="1"/>
  <c r="N260" i="1"/>
  <c r="O260" i="1"/>
  <c r="P260" i="1"/>
  <c r="R255" i="1"/>
  <c r="E255" i="1"/>
  <c r="AA255" i="1"/>
  <c r="F255" i="1"/>
  <c r="G255" i="1"/>
  <c r="H255" i="1"/>
  <c r="I255" i="1"/>
  <c r="J255" i="1"/>
  <c r="K255" i="1"/>
  <c r="L255" i="1"/>
  <c r="M255" i="1"/>
  <c r="N255" i="1"/>
  <c r="O255" i="1"/>
  <c r="P255" i="1"/>
  <c r="R247" i="1"/>
  <c r="E247" i="1"/>
  <c r="AA247" i="1"/>
  <c r="F247" i="1"/>
  <c r="G247" i="1"/>
  <c r="H247" i="1"/>
  <c r="I247" i="1"/>
  <c r="J247" i="1"/>
  <c r="K247" i="1"/>
  <c r="L247" i="1"/>
  <c r="M247" i="1"/>
  <c r="N247" i="1"/>
  <c r="O247" i="1"/>
  <c r="P247" i="1"/>
  <c r="R250" i="1"/>
  <c r="E250" i="1"/>
  <c r="AA250" i="1"/>
  <c r="F250" i="1"/>
  <c r="G250" i="1"/>
  <c r="H250" i="1"/>
  <c r="I250" i="1"/>
  <c r="J250" i="1"/>
  <c r="K250" i="1"/>
  <c r="L250" i="1"/>
  <c r="M250" i="1"/>
  <c r="N250" i="1"/>
  <c r="O250" i="1"/>
  <c r="P250" i="1"/>
  <c r="R252" i="1"/>
  <c r="E252" i="1"/>
  <c r="AA252" i="1"/>
  <c r="F252" i="1"/>
  <c r="G252" i="1"/>
  <c r="H252" i="1"/>
  <c r="I252" i="1"/>
  <c r="J252" i="1"/>
  <c r="K252" i="1"/>
  <c r="L252" i="1"/>
  <c r="M252" i="1"/>
  <c r="N252" i="1"/>
  <c r="O252" i="1"/>
  <c r="P252" i="1"/>
  <c r="R245" i="1"/>
  <c r="E245" i="1"/>
  <c r="AA245" i="1"/>
  <c r="F245" i="1"/>
  <c r="G245" i="1"/>
  <c r="H245" i="1"/>
  <c r="I245" i="1"/>
  <c r="J245" i="1"/>
  <c r="K245" i="1"/>
  <c r="L245" i="1"/>
  <c r="M245" i="1"/>
  <c r="N245" i="1"/>
  <c r="O245" i="1"/>
  <c r="P245" i="1"/>
  <c r="R243" i="1"/>
  <c r="E243" i="1"/>
  <c r="AA243" i="1"/>
  <c r="F243" i="1"/>
  <c r="G243" i="1"/>
  <c r="H243" i="1"/>
  <c r="I243" i="1"/>
  <c r="J243" i="1"/>
  <c r="K243" i="1"/>
  <c r="L243" i="1"/>
  <c r="M243" i="1"/>
  <c r="N243" i="1"/>
  <c r="O243" i="1"/>
  <c r="P243" i="1"/>
  <c r="R238" i="1"/>
  <c r="E238" i="1"/>
  <c r="AA238" i="1"/>
  <c r="F238" i="1"/>
  <c r="G238" i="1"/>
  <c r="H238" i="1"/>
  <c r="I238" i="1"/>
  <c r="J238" i="1"/>
  <c r="K238" i="1"/>
  <c r="L238" i="1"/>
  <c r="M238" i="1"/>
  <c r="N238" i="1"/>
  <c r="O238" i="1"/>
  <c r="P238" i="1"/>
  <c r="R241" i="1"/>
  <c r="E241" i="1"/>
  <c r="AA241" i="1"/>
  <c r="F241" i="1"/>
  <c r="G241" i="1"/>
  <c r="H241" i="1"/>
  <c r="I241" i="1"/>
  <c r="J241" i="1"/>
  <c r="K241" i="1"/>
  <c r="L241" i="1"/>
  <c r="M241" i="1"/>
  <c r="N241" i="1"/>
  <c r="O241" i="1"/>
  <c r="P241" i="1"/>
  <c r="R235" i="1"/>
  <c r="E235" i="1"/>
  <c r="AA235" i="1"/>
  <c r="F235" i="1"/>
  <c r="G235" i="1"/>
  <c r="H235" i="1"/>
  <c r="I235" i="1"/>
  <c r="J235" i="1"/>
  <c r="K235" i="1"/>
  <c r="L235" i="1"/>
  <c r="M235" i="1"/>
  <c r="N235" i="1"/>
  <c r="O235" i="1"/>
  <c r="P235" i="1"/>
  <c r="R237" i="1"/>
  <c r="E237" i="1"/>
  <c r="AA237" i="1"/>
  <c r="F237" i="1"/>
  <c r="G237" i="1"/>
  <c r="H237" i="1"/>
  <c r="I237" i="1"/>
  <c r="J237" i="1"/>
  <c r="K237" i="1"/>
  <c r="L237" i="1"/>
  <c r="M237" i="1"/>
  <c r="N237" i="1"/>
  <c r="O237" i="1"/>
  <c r="P237" i="1"/>
  <c r="R234" i="1"/>
  <c r="E234" i="1"/>
  <c r="AA234" i="1"/>
  <c r="F234" i="1"/>
  <c r="G234" i="1"/>
  <c r="H234" i="1"/>
  <c r="I234" i="1"/>
  <c r="J234" i="1"/>
  <c r="K234" i="1"/>
  <c r="L234" i="1"/>
  <c r="M234" i="1"/>
  <c r="N234" i="1"/>
  <c r="O234" i="1"/>
  <c r="P234" i="1"/>
  <c r="R227" i="1"/>
  <c r="E227" i="1"/>
  <c r="AA227" i="1"/>
  <c r="F227" i="1"/>
  <c r="G227" i="1"/>
  <c r="H227" i="1"/>
  <c r="I227" i="1"/>
  <c r="J227" i="1"/>
  <c r="K227" i="1"/>
  <c r="L227" i="1"/>
  <c r="M227" i="1"/>
  <c r="N227" i="1"/>
  <c r="O227" i="1"/>
  <c r="P227" i="1"/>
  <c r="R228" i="1"/>
  <c r="E228" i="1"/>
  <c r="AA228" i="1"/>
  <c r="F228" i="1"/>
  <c r="G228" i="1"/>
  <c r="H228" i="1"/>
  <c r="I228" i="1"/>
  <c r="J228" i="1"/>
  <c r="K228" i="1"/>
  <c r="L228" i="1"/>
  <c r="M228" i="1"/>
  <c r="N228" i="1"/>
  <c r="O228" i="1"/>
  <c r="P228" i="1"/>
  <c r="R229" i="1"/>
  <c r="E229" i="1"/>
  <c r="AA229" i="1"/>
  <c r="F229" i="1"/>
  <c r="G229" i="1"/>
  <c r="H229" i="1"/>
  <c r="I229" i="1"/>
  <c r="J229" i="1"/>
  <c r="K229" i="1"/>
  <c r="L229" i="1"/>
  <c r="M229" i="1"/>
  <c r="N229" i="1"/>
  <c r="O229" i="1"/>
  <c r="P229" i="1"/>
  <c r="R230" i="1"/>
  <c r="E230" i="1"/>
  <c r="AA230" i="1"/>
  <c r="F230" i="1"/>
  <c r="G230" i="1"/>
  <c r="H230" i="1"/>
  <c r="I230" i="1"/>
  <c r="J230" i="1"/>
  <c r="K230" i="1"/>
  <c r="L230" i="1"/>
  <c r="M230" i="1"/>
  <c r="N230" i="1"/>
  <c r="O230" i="1"/>
  <c r="P230" i="1"/>
  <c r="R214" i="1"/>
  <c r="E214" i="1"/>
  <c r="AA214" i="1"/>
  <c r="F214" i="1"/>
  <c r="G214" i="1"/>
  <c r="H214" i="1"/>
  <c r="I214" i="1"/>
  <c r="J214" i="1"/>
  <c r="K214" i="1"/>
  <c r="L214" i="1"/>
  <c r="M214" i="1"/>
  <c r="N214" i="1"/>
  <c r="O214" i="1"/>
  <c r="P214" i="1"/>
  <c r="R215" i="1"/>
  <c r="E215" i="1"/>
  <c r="AA215" i="1"/>
  <c r="F215" i="1"/>
  <c r="G215" i="1"/>
  <c r="H215" i="1"/>
  <c r="I215" i="1"/>
  <c r="J215" i="1"/>
  <c r="K215" i="1"/>
  <c r="L215" i="1"/>
  <c r="M215" i="1"/>
  <c r="N215" i="1"/>
  <c r="O215" i="1"/>
  <c r="P215" i="1"/>
  <c r="R220" i="1"/>
  <c r="E220" i="1"/>
  <c r="AA220" i="1"/>
  <c r="F220" i="1"/>
  <c r="G220" i="1"/>
  <c r="H220" i="1"/>
  <c r="I220" i="1"/>
  <c r="J220" i="1"/>
  <c r="K220" i="1"/>
  <c r="L220" i="1"/>
  <c r="M220" i="1"/>
  <c r="N220" i="1"/>
  <c r="O220" i="1"/>
  <c r="P220" i="1"/>
  <c r="R222" i="1"/>
  <c r="E222" i="1"/>
  <c r="AA222" i="1"/>
  <c r="F222" i="1"/>
  <c r="G222" i="1"/>
  <c r="H222" i="1"/>
  <c r="I222" i="1"/>
  <c r="J222" i="1"/>
  <c r="K222" i="1"/>
  <c r="L222" i="1"/>
  <c r="M222" i="1"/>
  <c r="N222" i="1"/>
  <c r="O222" i="1"/>
  <c r="P222" i="1"/>
  <c r="R225" i="1"/>
  <c r="E225" i="1"/>
  <c r="AA225" i="1"/>
  <c r="F225" i="1"/>
  <c r="G225" i="1"/>
  <c r="H225" i="1"/>
  <c r="I225" i="1"/>
  <c r="J225" i="1"/>
  <c r="K225" i="1"/>
  <c r="L225" i="1"/>
  <c r="M225" i="1"/>
  <c r="N225" i="1"/>
  <c r="O225" i="1"/>
  <c r="P225" i="1"/>
  <c r="R226" i="1"/>
  <c r="E226" i="1"/>
  <c r="AA226" i="1"/>
  <c r="F226" i="1"/>
  <c r="G226" i="1"/>
  <c r="H226" i="1"/>
  <c r="I226" i="1"/>
  <c r="J226" i="1"/>
  <c r="K226" i="1"/>
  <c r="L226" i="1"/>
  <c r="M226" i="1"/>
  <c r="N226" i="1"/>
  <c r="O226" i="1"/>
  <c r="P226" i="1"/>
  <c r="R208" i="1"/>
  <c r="E208" i="1"/>
  <c r="AA208" i="1"/>
  <c r="F208" i="1"/>
  <c r="G208" i="1"/>
  <c r="H208" i="1"/>
  <c r="I208" i="1"/>
  <c r="J208" i="1"/>
  <c r="K208" i="1"/>
  <c r="L208" i="1"/>
  <c r="M208" i="1"/>
  <c r="N208" i="1"/>
  <c r="O208" i="1"/>
  <c r="P208" i="1"/>
  <c r="R189" i="1"/>
  <c r="E189" i="1"/>
  <c r="AA189" i="1"/>
  <c r="F189" i="1"/>
  <c r="G189" i="1"/>
  <c r="H189" i="1"/>
  <c r="I189" i="1"/>
  <c r="J189" i="1"/>
  <c r="K189" i="1"/>
  <c r="L189" i="1"/>
  <c r="M189" i="1"/>
  <c r="N189" i="1"/>
  <c r="O189" i="1"/>
  <c r="P189" i="1"/>
  <c r="R191" i="1"/>
  <c r="E191" i="1"/>
  <c r="AA191" i="1"/>
  <c r="F191" i="1"/>
  <c r="G191" i="1"/>
  <c r="H191" i="1"/>
  <c r="I191" i="1"/>
  <c r="J191" i="1"/>
  <c r="K191" i="1"/>
  <c r="L191" i="1"/>
  <c r="M191" i="1"/>
  <c r="N191" i="1"/>
  <c r="O191" i="1"/>
  <c r="P191" i="1"/>
  <c r="R192" i="1"/>
  <c r="E192" i="1"/>
  <c r="AA192" i="1"/>
  <c r="F192" i="1"/>
  <c r="G192" i="1"/>
  <c r="H192" i="1"/>
  <c r="I192" i="1"/>
  <c r="J192" i="1"/>
  <c r="K192" i="1"/>
  <c r="L192" i="1"/>
  <c r="M192" i="1"/>
  <c r="N192" i="1"/>
  <c r="O192" i="1"/>
  <c r="P192" i="1"/>
  <c r="R195" i="1"/>
  <c r="E195" i="1"/>
  <c r="AA195" i="1"/>
  <c r="F195" i="1"/>
  <c r="G195" i="1"/>
  <c r="H195" i="1"/>
  <c r="I195" i="1"/>
  <c r="J195" i="1"/>
  <c r="K195" i="1"/>
  <c r="L195" i="1"/>
  <c r="M195" i="1"/>
  <c r="N195" i="1"/>
  <c r="O195" i="1"/>
  <c r="P195" i="1"/>
  <c r="R197" i="1"/>
  <c r="E197" i="1"/>
  <c r="AA197" i="1"/>
  <c r="F197" i="1"/>
  <c r="G197" i="1"/>
  <c r="H197" i="1"/>
  <c r="I197" i="1"/>
  <c r="J197" i="1"/>
  <c r="K197" i="1"/>
  <c r="L197" i="1"/>
  <c r="M197" i="1"/>
  <c r="N197" i="1"/>
  <c r="O197" i="1"/>
  <c r="P197" i="1"/>
  <c r="R198" i="1"/>
  <c r="E198" i="1"/>
  <c r="AA198" i="1"/>
  <c r="F198" i="1"/>
  <c r="G198" i="1"/>
  <c r="H198" i="1"/>
  <c r="I198" i="1"/>
  <c r="J198" i="1"/>
  <c r="K198" i="1"/>
  <c r="L198" i="1"/>
  <c r="M198" i="1"/>
  <c r="N198" i="1"/>
  <c r="O198" i="1"/>
  <c r="P198" i="1"/>
  <c r="R199" i="1"/>
  <c r="E199" i="1"/>
  <c r="AA199" i="1"/>
  <c r="F199" i="1"/>
  <c r="G199" i="1"/>
  <c r="H199" i="1"/>
  <c r="I199" i="1"/>
  <c r="J199" i="1"/>
  <c r="K199" i="1"/>
  <c r="L199" i="1"/>
  <c r="M199" i="1"/>
  <c r="N199" i="1"/>
  <c r="O199" i="1"/>
  <c r="P199" i="1"/>
  <c r="R200" i="1"/>
  <c r="E200" i="1"/>
  <c r="AA200" i="1"/>
  <c r="F200" i="1"/>
  <c r="G200" i="1"/>
  <c r="H200" i="1"/>
  <c r="I200" i="1"/>
  <c r="J200" i="1"/>
  <c r="K200" i="1"/>
  <c r="L200" i="1"/>
  <c r="M200" i="1"/>
  <c r="N200" i="1"/>
  <c r="O200" i="1"/>
  <c r="P200" i="1"/>
  <c r="R205" i="1"/>
  <c r="E205" i="1"/>
  <c r="AA205" i="1"/>
  <c r="F205" i="1"/>
  <c r="G205" i="1"/>
  <c r="H205" i="1"/>
  <c r="I205" i="1"/>
  <c r="J205" i="1"/>
  <c r="K205" i="1"/>
  <c r="L205" i="1"/>
  <c r="M205" i="1"/>
  <c r="N205" i="1"/>
  <c r="O205" i="1"/>
  <c r="P205" i="1"/>
  <c r="R179" i="1"/>
  <c r="E179" i="1"/>
  <c r="AA179" i="1"/>
  <c r="F179" i="1"/>
  <c r="G179" i="1"/>
  <c r="H179" i="1"/>
  <c r="I179" i="1"/>
  <c r="J179" i="1"/>
  <c r="K179" i="1"/>
  <c r="L179" i="1"/>
  <c r="M179" i="1"/>
  <c r="N179" i="1"/>
  <c r="O179" i="1"/>
  <c r="P179" i="1"/>
  <c r="R184" i="1"/>
  <c r="E184" i="1"/>
  <c r="AA184" i="1"/>
  <c r="F184" i="1"/>
  <c r="G184" i="1"/>
  <c r="H184" i="1"/>
  <c r="I184" i="1"/>
  <c r="J184" i="1"/>
  <c r="K184" i="1"/>
  <c r="L184" i="1"/>
  <c r="M184" i="1"/>
  <c r="N184" i="1"/>
  <c r="O184" i="1"/>
  <c r="P184" i="1"/>
  <c r="R176" i="1"/>
  <c r="E176" i="1"/>
  <c r="AA176" i="1"/>
  <c r="F176" i="1"/>
  <c r="G176" i="1"/>
  <c r="H176" i="1"/>
  <c r="I176" i="1"/>
  <c r="J176" i="1"/>
  <c r="K176" i="1"/>
  <c r="L176" i="1"/>
  <c r="M176" i="1"/>
  <c r="N176" i="1"/>
  <c r="O176" i="1"/>
  <c r="P176" i="1"/>
  <c r="R177" i="1"/>
  <c r="E177" i="1"/>
  <c r="AA177" i="1"/>
  <c r="F177" i="1"/>
  <c r="G177" i="1"/>
  <c r="H177" i="1"/>
  <c r="I177" i="1"/>
  <c r="J177" i="1"/>
  <c r="K177" i="1"/>
  <c r="L177" i="1"/>
  <c r="M177" i="1"/>
  <c r="N177" i="1"/>
  <c r="O177" i="1"/>
  <c r="P177" i="1"/>
  <c r="R170" i="1"/>
  <c r="E170" i="1"/>
  <c r="AA170" i="1"/>
  <c r="F170" i="1"/>
  <c r="G170" i="1"/>
  <c r="H170" i="1"/>
  <c r="I170" i="1"/>
  <c r="J170" i="1"/>
  <c r="K170" i="1"/>
  <c r="L170" i="1"/>
  <c r="M170" i="1"/>
  <c r="N170" i="1"/>
  <c r="O170" i="1"/>
  <c r="P170" i="1"/>
  <c r="R171" i="1"/>
  <c r="E171" i="1"/>
  <c r="AA171" i="1"/>
  <c r="F171" i="1"/>
  <c r="G171" i="1"/>
  <c r="H171" i="1"/>
  <c r="I171" i="1"/>
  <c r="J171" i="1"/>
  <c r="K171" i="1"/>
  <c r="L171" i="1"/>
  <c r="M171" i="1"/>
  <c r="N171" i="1"/>
  <c r="O171" i="1"/>
  <c r="P171" i="1"/>
  <c r="R172" i="1"/>
  <c r="E172" i="1"/>
  <c r="AA172" i="1"/>
  <c r="F172" i="1"/>
  <c r="G172" i="1"/>
  <c r="H172" i="1"/>
  <c r="I172" i="1"/>
  <c r="J172" i="1"/>
  <c r="K172" i="1"/>
  <c r="L172" i="1"/>
  <c r="M172" i="1"/>
  <c r="N172" i="1"/>
  <c r="O172" i="1"/>
  <c r="P172" i="1"/>
  <c r="R169" i="1"/>
  <c r="E169" i="1"/>
  <c r="AA169" i="1"/>
  <c r="F169" i="1"/>
  <c r="G169" i="1"/>
  <c r="H169" i="1"/>
  <c r="I169" i="1"/>
  <c r="J169" i="1"/>
  <c r="K169" i="1"/>
  <c r="L169" i="1"/>
  <c r="M169" i="1"/>
  <c r="N169" i="1"/>
  <c r="O169" i="1"/>
  <c r="P169" i="1"/>
  <c r="R167" i="1"/>
  <c r="E167" i="1"/>
  <c r="AA167" i="1"/>
  <c r="F167" i="1"/>
  <c r="G167" i="1"/>
  <c r="H167" i="1"/>
  <c r="I167" i="1"/>
  <c r="J167" i="1"/>
  <c r="K167" i="1"/>
  <c r="L167" i="1"/>
  <c r="M167" i="1"/>
  <c r="N167" i="1"/>
  <c r="O167" i="1"/>
  <c r="P167" i="1"/>
  <c r="R168" i="1"/>
  <c r="E168" i="1"/>
  <c r="AA168" i="1"/>
  <c r="F168" i="1"/>
  <c r="G168" i="1"/>
  <c r="H168" i="1"/>
  <c r="I168" i="1"/>
  <c r="J168" i="1"/>
  <c r="K168" i="1"/>
  <c r="L168" i="1"/>
  <c r="M168" i="1"/>
  <c r="N168" i="1"/>
  <c r="O168" i="1"/>
  <c r="P168" i="1"/>
  <c r="R165" i="1"/>
  <c r="E165" i="1"/>
  <c r="AA165" i="1"/>
  <c r="F165" i="1"/>
  <c r="G165" i="1"/>
  <c r="H165" i="1"/>
  <c r="I165" i="1"/>
  <c r="J165" i="1"/>
  <c r="K165" i="1"/>
  <c r="L165" i="1"/>
  <c r="M165" i="1"/>
  <c r="N165" i="1"/>
  <c r="O165" i="1"/>
  <c r="P165" i="1"/>
  <c r="R166" i="1"/>
  <c r="E166" i="1"/>
  <c r="AA166" i="1"/>
  <c r="F166" i="1"/>
  <c r="G166" i="1"/>
  <c r="H166" i="1"/>
  <c r="I166" i="1"/>
  <c r="J166" i="1"/>
  <c r="K166" i="1"/>
  <c r="L166" i="1"/>
  <c r="M166" i="1"/>
  <c r="N166" i="1"/>
  <c r="O166" i="1"/>
  <c r="P166" i="1"/>
  <c r="R158" i="1"/>
  <c r="E158" i="1"/>
  <c r="AA158" i="1"/>
  <c r="F158" i="1"/>
  <c r="G158" i="1"/>
  <c r="H158" i="1"/>
  <c r="I158" i="1"/>
  <c r="J158" i="1"/>
  <c r="K158" i="1"/>
  <c r="L158" i="1"/>
  <c r="M158" i="1"/>
  <c r="N158" i="1"/>
  <c r="O158" i="1"/>
  <c r="P158" i="1"/>
  <c r="R159" i="1"/>
  <c r="E159" i="1"/>
  <c r="AA159" i="1"/>
  <c r="F159" i="1"/>
  <c r="G159" i="1"/>
  <c r="H159" i="1"/>
  <c r="I159" i="1"/>
  <c r="J159" i="1"/>
  <c r="K159" i="1"/>
  <c r="L159" i="1"/>
  <c r="M159" i="1"/>
  <c r="N159" i="1"/>
  <c r="O159" i="1"/>
  <c r="P159" i="1"/>
  <c r="R160" i="1"/>
  <c r="E160" i="1"/>
  <c r="AA160" i="1"/>
  <c r="F160" i="1"/>
  <c r="G160" i="1"/>
  <c r="H160" i="1"/>
  <c r="I160" i="1"/>
  <c r="J160" i="1"/>
  <c r="K160" i="1"/>
  <c r="L160" i="1"/>
  <c r="M160" i="1"/>
  <c r="N160" i="1"/>
  <c r="O160" i="1"/>
  <c r="P160" i="1"/>
  <c r="R154" i="1"/>
  <c r="E154" i="1"/>
  <c r="AA154" i="1"/>
  <c r="F154" i="1"/>
  <c r="G154" i="1"/>
  <c r="H154" i="1"/>
  <c r="I154" i="1"/>
  <c r="J154" i="1"/>
  <c r="K154" i="1"/>
  <c r="L154" i="1"/>
  <c r="M154" i="1"/>
  <c r="N154" i="1"/>
  <c r="O154" i="1"/>
  <c r="P154" i="1"/>
  <c r="R150" i="1"/>
  <c r="E150" i="1"/>
  <c r="AA150" i="1"/>
  <c r="F150" i="1"/>
  <c r="G150" i="1"/>
  <c r="H150" i="1"/>
  <c r="I150" i="1"/>
  <c r="J150" i="1"/>
  <c r="K150" i="1"/>
  <c r="L150" i="1"/>
  <c r="M150" i="1"/>
  <c r="N150" i="1"/>
  <c r="O150" i="1"/>
  <c r="P150" i="1"/>
  <c r="R153" i="1"/>
  <c r="E153" i="1"/>
  <c r="AA153" i="1"/>
  <c r="F153" i="1"/>
  <c r="G153" i="1"/>
  <c r="H153" i="1"/>
  <c r="I153" i="1"/>
  <c r="J153" i="1"/>
  <c r="K153" i="1"/>
  <c r="L153" i="1"/>
  <c r="M153" i="1"/>
  <c r="N153" i="1"/>
  <c r="O153" i="1"/>
  <c r="P153" i="1"/>
  <c r="R137" i="1"/>
  <c r="E137" i="1"/>
  <c r="AA137" i="1"/>
  <c r="F137" i="1"/>
  <c r="G137" i="1"/>
  <c r="H137" i="1"/>
  <c r="I137" i="1"/>
  <c r="J137" i="1"/>
  <c r="K137" i="1"/>
  <c r="L137" i="1"/>
  <c r="M137" i="1"/>
  <c r="N137" i="1"/>
  <c r="O137" i="1"/>
  <c r="P137" i="1"/>
  <c r="R141" i="1"/>
  <c r="E141" i="1"/>
  <c r="AA141" i="1"/>
  <c r="F141" i="1"/>
  <c r="G141" i="1"/>
  <c r="H141" i="1"/>
  <c r="I141" i="1"/>
  <c r="J141" i="1"/>
  <c r="K141" i="1"/>
  <c r="L141" i="1"/>
  <c r="M141" i="1"/>
  <c r="N141" i="1"/>
  <c r="O141" i="1"/>
  <c r="P141" i="1"/>
  <c r="R147" i="1"/>
  <c r="E147" i="1"/>
  <c r="AA147" i="1"/>
  <c r="F147" i="1"/>
  <c r="G147" i="1"/>
  <c r="H147" i="1"/>
  <c r="I147" i="1"/>
  <c r="J147" i="1"/>
  <c r="K147" i="1"/>
  <c r="L147" i="1"/>
  <c r="M147" i="1"/>
  <c r="N147" i="1"/>
  <c r="O147" i="1"/>
  <c r="P147" i="1"/>
  <c r="R131" i="1"/>
  <c r="E131" i="1"/>
  <c r="AA131" i="1"/>
  <c r="F131" i="1"/>
  <c r="G131" i="1"/>
  <c r="H131" i="1"/>
  <c r="I131" i="1"/>
  <c r="J131" i="1"/>
  <c r="K131" i="1"/>
  <c r="L131" i="1"/>
  <c r="M131" i="1"/>
  <c r="N131" i="1"/>
  <c r="O131" i="1"/>
  <c r="P131" i="1"/>
  <c r="R122" i="1"/>
  <c r="E122" i="1"/>
  <c r="AA122" i="1"/>
  <c r="F122" i="1"/>
  <c r="G122" i="1"/>
  <c r="H122" i="1"/>
  <c r="I122" i="1"/>
  <c r="J122" i="1"/>
  <c r="K122" i="1"/>
  <c r="L122" i="1"/>
  <c r="M122" i="1"/>
  <c r="N122" i="1"/>
  <c r="O122" i="1"/>
  <c r="P122" i="1"/>
  <c r="R124" i="1"/>
  <c r="E124" i="1"/>
  <c r="AA124" i="1"/>
  <c r="F124" i="1"/>
  <c r="G124" i="1"/>
  <c r="H124" i="1"/>
  <c r="I124" i="1"/>
  <c r="J124" i="1"/>
  <c r="K124" i="1"/>
  <c r="L124" i="1"/>
  <c r="M124" i="1"/>
  <c r="N124" i="1"/>
  <c r="O124" i="1"/>
  <c r="P124" i="1"/>
  <c r="R126" i="1"/>
  <c r="E126" i="1"/>
  <c r="AA126" i="1"/>
  <c r="F126" i="1"/>
  <c r="G126" i="1"/>
  <c r="H126" i="1"/>
  <c r="I126" i="1"/>
  <c r="J126" i="1"/>
  <c r="K126" i="1"/>
  <c r="L126" i="1"/>
  <c r="M126" i="1"/>
  <c r="N126" i="1"/>
  <c r="O126" i="1"/>
  <c r="P126" i="1"/>
  <c r="R127" i="1"/>
  <c r="E127" i="1"/>
  <c r="AA127" i="1"/>
  <c r="F127" i="1"/>
  <c r="G127" i="1"/>
  <c r="H127" i="1"/>
  <c r="I127" i="1"/>
  <c r="J127" i="1"/>
  <c r="K127" i="1"/>
  <c r="L127" i="1"/>
  <c r="M127" i="1"/>
  <c r="N127" i="1"/>
  <c r="O127" i="1"/>
  <c r="P127" i="1"/>
  <c r="R130" i="1"/>
  <c r="E130" i="1"/>
  <c r="AA130" i="1"/>
  <c r="F130" i="1"/>
  <c r="G130" i="1"/>
  <c r="H130" i="1"/>
  <c r="I130" i="1"/>
  <c r="J130" i="1"/>
  <c r="K130" i="1"/>
  <c r="L130" i="1"/>
  <c r="M130" i="1"/>
  <c r="N130" i="1"/>
  <c r="O130" i="1"/>
  <c r="P130" i="1"/>
  <c r="R107" i="1"/>
  <c r="E107" i="1"/>
  <c r="AA107" i="1"/>
  <c r="F107" i="1"/>
  <c r="G107" i="1"/>
  <c r="H107" i="1"/>
  <c r="I107" i="1"/>
  <c r="J107" i="1"/>
  <c r="K107" i="1"/>
  <c r="L107" i="1"/>
  <c r="M107" i="1"/>
  <c r="N107" i="1"/>
  <c r="O107" i="1"/>
  <c r="P107" i="1"/>
  <c r="R108" i="1"/>
  <c r="E108" i="1"/>
  <c r="AA108" i="1"/>
  <c r="F108" i="1"/>
  <c r="G108" i="1"/>
  <c r="H108" i="1"/>
  <c r="I108" i="1"/>
  <c r="J108" i="1"/>
  <c r="K108" i="1"/>
  <c r="L108" i="1"/>
  <c r="M108" i="1"/>
  <c r="N108" i="1"/>
  <c r="O108" i="1"/>
  <c r="P108" i="1"/>
  <c r="R110" i="1"/>
  <c r="E110" i="1"/>
  <c r="AA110" i="1"/>
  <c r="F110" i="1"/>
  <c r="G110" i="1"/>
  <c r="H110" i="1"/>
  <c r="I110" i="1"/>
  <c r="J110" i="1"/>
  <c r="K110" i="1"/>
  <c r="L110" i="1"/>
  <c r="M110" i="1"/>
  <c r="N110" i="1"/>
  <c r="O110" i="1"/>
  <c r="P110" i="1"/>
  <c r="R101" i="1"/>
  <c r="E101" i="1"/>
  <c r="AA101" i="1"/>
  <c r="F101" i="1"/>
  <c r="G101" i="1"/>
  <c r="H101" i="1"/>
  <c r="I101" i="1"/>
  <c r="J101" i="1"/>
  <c r="K101" i="1"/>
  <c r="L101" i="1"/>
  <c r="M101" i="1"/>
  <c r="N101" i="1"/>
  <c r="O101" i="1"/>
  <c r="P101" i="1"/>
  <c r="R103" i="1"/>
  <c r="E103" i="1"/>
  <c r="AA103" i="1"/>
  <c r="F103" i="1"/>
  <c r="G103" i="1"/>
  <c r="H103" i="1"/>
  <c r="I103" i="1"/>
  <c r="J103" i="1"/>
  <c r="K103" i="1"/>
  <c r="L103" i="1"/>
  <c r="M103" i="1"/>
  <c r="N103" i="1"/>
  <c r="O103" i="1"/>
  <c r="P103" i="1"/>
  <c r="R105" i="1"/>
  <c r="E105" i="1"/>
  <c r="AA105" i="1"/>
  <c r="F105" i="1"/>
  <c r="G105" i="1"/>
  <c r="H105" i="1"/>
  <c r="I105" i="1"/>
  <c r="J105" i="1"/>
  <c r="K105" i="1"/>
  <c r="L105" i="1"/>
  <c r="M105" i="1"/>
  <c r="N105" i="1"/>
  <c r="O105" i="1"/>
  <c r="P105" i="1"/>
  <c r="R96" i="1"/>
  <c r="E96" i="1"/>
  <c r="AA96" i="1"/>
  <c r="F96" i="1"/>
  <c r="G96" i="1"/>
  <c r="H96" i="1"/>
  <c r="I96" i="1"/>
  <c r="J96" i="1"/>
  <c r="K96" i="1"/>
  <c r="L96" i="1"/>
  <c r="M96" i="1"/>
  <c r="N96" i="1"/>
  <c r="O96" i="1"/>
  <c r="P96" i="1"/>
  <c r="R85" i="1"/>
  <c r="E85" i="1"/>
  <c r="AA85" i="1"/>
  <c r="F85" i="1"/>
  <c r="G85" i="1"/>
  <c r="H85" i="1"/>
  <c r="I85" i="1"/>
  <c r="J85" i="1"/>
  <c r="K85" i="1"/>
  <c r="L85" i="1"/>
  <c r="M85" i="1"/>
  <c r="N85" i="1"/>
  <c r="O85" i="1"/>
  <c r="P85" i="1"/>
  <c r="R86" i="1"/>
  <c r="E86" i="1"/>
  <c r="AA86" i="1"/>
  <c r="F86" i="1"/>
  <c r="G86" i="1"/>
  <c r="H86" i="1"/>
  <c r="I86" i="1"/>
  <c r="J86" i="1"/>
  <c r="K86" i="1"/>
  <c r="L86" i="1"/>
  <c r="M86" i="1"/>
  <c r="N86" i="1"/>
  <c r="O86" i="1"/>
  <c r="P86" i="1"/>
  <c r="R91" i="1"/>
  <c r="E91" i="1"/>
  <c r="AA91" i="1"/>
  <c r="F91" i="1"/>
  <c r="G91" i="1"/>
  <c r="H91" i="1"/>
  <c r="I91" i="1"/>
  <c r="J91" i="1"/>
  <c r="K91" i="1"/>
  <c r="L91" i="1"/>
  <c r="M91" i="1"/>
  <c r="N91" i="1"/>
  <c r="O91" i="1"/>
  <c r="P91" i="1"/>
  <c r="R92" i="1"/>
  <c r="E92" i="1"/>
  <c r="AA92" i="1"/>
  <c r="F92" i="1"/>
  <c r="G92" i="1"/>
  <c r="H92" i="1"/>
  <c r="I92" i="1"/>
  <c r="J92" i="1"/>
  <c r="K92" i="1"/>
  <c r="L92" i="1"/>
  <c r="M92" i="1"/>
  <c r="N92" i="1"/>
  <c r="O92" i="1"/>
  <c r="P92" i="1"/>
  <c r="R74" i="1"/>
  <c r="E74" i="1"/>
  <c r="AA74" i="1"/>
  <c r="F74" i="1"/>
  <c r="G74" i="1"/>
  <c r="H74" i="1"/>
  <c r="I74" i="1"/>
  <c r="J74" i="1"/>
  <c r="K74" i="1"/>
  <c r="L74" i="1"/>
  <c r="M74" i="1"/>
  <c r="N74" i="1"/>
  <c r="O74" i="1"/>
  <c r="P74" i="1"/>
  <c r="R75" i="1"/>
  <c r="E75" i="1"/>
  <c r="AA75" i="1"/>
  <c r="F75" i="1"/>
  <c r="G75" i="1"/>
  <c r="H75" i="1"/>
  <c r="I75" i="1"/>
  <c r="J75" i="1"/>
  <c r="K75" i="1"/>
  <c r="L75" i="1"/>
  <c r="M75" i="1"/>
  <c r="N75" i="1"/>
  <c r="O75" i="1"/>
  <c r="P75" i="1"/>
  <c r="R66" i="1"/>
  <c r="E66" i="1"/>
  <c r="AA66" i="1"/>
  <c r="F66" i="1"/>
  <c r="G66" i="1"/>
  <c r="H66" i="1"/>
  <c r="I66" i="1"/>
  <c r="J66" i="1"/>
  <c r="K66" i="1"/>
  <c r="L66" i="1"/>
  <c r="M66" i="1"/>
  <c r="N66" i="1"/>
  <c r="O66" i="1"/>
  <c r="P66" i="1"/>
  <c r="R70" i="1"/>
  <c r="E70" i="1"/>
  <c r="AA70" i="1"/>
  <c r="F70" i="1"/>
  <c r="G70" i="1"/>
  <c r="H70" i="1"/>
  <c r="I70" i="1"/>
  <c r="J70" i="1"/>
  <c r="K70" i="1"/>
  <c r="L70" i="1"/>
  <c r="M70" i="1"/>
  <c r="N70" i="1"/>
  <c r="O70" i="1"/>
  <c r="P70" i="1"/>
  <c r="R64" i="1"/>
  <c r="E64" i="1"/>
  <c r="AA64" i="1"/>
  <c r="F64" i="1"/>
  <c r="G64" i="1"/>
  <c r="H64" i="1"/>
  <c r="I64" i="1"/>
  <c r="J64" i="1"/>
  <c r="K64" i="1"/>
  <c r="L64" i="1"/>
  <c r="M64" i="1"/>
  <c r="N64" i="1"/>
  <c r="O64" i="1"/>
  <c r="P64" i="1"/>
  <c r="R61" i="1"/>
  <c r="E61" i="1"/>
  <c r="AA61" i="1"/>
  <c r="F61" i="1"/>
  <c r="G61" i="1"/>
  <c r="H61" i="1"/>
  <c r="I61" i="1"/>
  <c r="J61" i="1"/>
  <c r="K61" i="1"/>
  <c r="L61" i="1"/>
  <c r="M61" i="1"/>
  <c r="N61" i="1"/>
  <c r="O61" i="1"/>
  <c r="P61" i="1"/>
  <c r="R43" i="1"/>
  <c r="E43" i="1"/>
  <c r="AA43" i="1"/>
  <c r="F43" i="1"/>
  <c r="G43" i="1"/>
  <c r="H43" i="1"/>
  <c r="I43" i="1"/>
  <c r="J43" i="1"/>
  <c r="K43" i="1"/>
  <c r="L43" i="1"/>
  <c r="M43" i="1"/>
  <c r="N43" i="1"/>
  <c r="O43" i="1"/>
  <c r="P43" i="1"/>
  <c r="R46" i="1"/>
  <c r="E46" i="1"/>
  <c r="AA46" i="1"/>
  <c r="F46" i="1"/>
  <c r="G46" i="1"/>
  <c r="H46" i="1"/>
  <c r="I46" i="1"/>
  <c r="J46" i="1"/>
  <c r="K46" i="1"/>
  <c r="L46" i="1"/>
  <c r="M46" i="1"/>
  <c r="N46" i="1"/>
  <c r="O46" i="1"/>
  <c r="P46" i="1"/>
  <c r="R41" i="1"/>
  <c r="E41" i="1"/>
  <c r="AA41" i="1"/>
  <c r="F41" i="1"/>
  <c r="G41" i="1"/>
  <c r="H41" i="1"/>
  <c r="I41" i="1"/>
  <c r="J41" i="1"/>
  <c r="K41" i="1"/>
  <c r="L41" i="1"/>
  <c r="M41" i="1"/>
  <c r="N41" i="1"/>
  <c r="O41" i="1"/>
  <c r="P41" i="1"/>
  <c r="R19" i="1"/>
  <c r="E19" i="1"/>
  <c r="AA19" i="1"/>
  <c r="F19" i="1"/>
  <c r="G19" i="1"/>
  <c r="H19" i="1"/>
  <c r="I19" i="1"/>
  <c r="J19" i="1"/>
  <c r="K19" i="1"/>
  <c r="L19" i="1"/>
  <c r="M19" i="1"/>
  <c r="N19" i="1"/>
  <c r="O19" i="1"/>
  <c r="P19" i="1"/>
  <c r="R283" i="1"/>
  <c r="E283" i="1"/>
  <c r="AA283" i="1"/>
  <c r="F283" i="1"/>
  <c r="G283" i="1"/>
  <c r="H283" i="1"/>
  <c r="I283" i="1"/>
  <c r="J283" i="1"/>
  <c r="K283" i="1"/>
  <c r="L283" i="1"/>
  <c r="M283" i="1"/>
  <c r="N283" i="1"/>
  <c r="O283" i="1"/>
  <c r="P283" i="1"/>
  <c r="R275" i="1"/>
  <c r="E275" i="1"/>
  <c r="AA275" i="1"/>
  <c r="F275" i="1"/>
  <c r="G275" i="1"/>
  <c r="H275" i="1"/>
  <c r="I275" i="1"/>
  <c r="J275" i="1"/>
  <c r="K275" i="1"/>
  <c r="L275" i="1"/>
  <c r="M275" i="1"/>
  <c r="N275" i="1"/>
  <c r="O275" i="1"/>
  <c r="P275" i="1"/>
  <c r="R276" i="1"/>
  <c r="E276" i="1"/>
  <c r="AA276" i="1"/>
  <c r="F276" i="1"/>
  <c r="G276" i="1"/>
  <c r="H276" i="1"/>
  <c r="I276" i="1"/>
  <c r="J276" i="1"/>
  <c r="K276" i="1"/>
  <c r="L276" i="1"/>
  <c r="M276" i="1"/>
  <c r="N276" i="1"/>
  <c r="O276" i="1"/>
  <c r="P276" i="1"/>
  <c r="R279" i="1"/>
  <c r="E279" i="1"/>
  <c r="AA279" i="1"/>
  <c r="F279" i="1"/>
  <c r="G279" i="1"/>
  <c r="H279" i="1"/>
  <c r="I279" i="1"/>
  <c r="J279" i="1"/>
  <c r="K279" i="1"/>
  <c r="L279" i="1"/>
  <c r="M279" i="1"/>
  <c r="N279" i="1"/>
  <c r="O279" i="1"/>
  <c r="P279" i="1"/>
  <c r="R270" i="1"/>
  <c r="E270" i="1"/>
  <c r="AA270" i="1"/>
  <c r="F270" i="1"/>
  <c r="G270" i="1"/>
  <c r="H270" i="1"/>
  <c r="I270" i="1"/>
  <c r="J270" i="1"/>
  <c r="K270" i="1"/>
  <c r="L270" i="1"/>
  <c r="M270" i="1"/>
  <c r="N270" i="1"/>
  <c r="O270" i="1"/>
  <c r="P270" i="1"/>
  <c r="R271" i="1"/>
  <c r="E271" i="1"/>
  <c r="AA271" i="1"/>
  <c r="F271" i="1"/>
  <c r="G271" i="1"/>
  <c r="H271" i="1"/>
  <c r="I271" i="1"/>
  <c r="J271" i="1"/>
  <c r="K271" i="1"/>
  <c r="L271" i="1"/>
  <c r="M271" i="1"/>
  <c r="N271" i="1"/>
  <c r="O271" i="1"/>
  <c r="P271" i="1"/>
  <c r="R272" i="1"/>
  <c r="E272" i="1"/>
  <c r="AA272" i="1"/>
  <c r="F272" i="1"/>
  <c r="G272" i="1"/>
  <c r="H272" i="1"/>
  <c r="I272" i="1"/>
  <c r="J272" i="1"/>
  <c r="K272" i="1"/>
  <c r="L272" i="1"/>
  <c r="M272" i="1"/>
  <c r="N272" i="1"/>
  <c r="O272" i="1"/>
  <c r="P272" i="1"/>
  <c r="R273" i="1"/>
  <c r="E273" i="1"/>
  <c r="AA273" i="1"/>
  <c r="F273" i="1"/>
  <c r="G273" i="1"/>
  <c r="H273" i="1"/>
  <c r="I273" i="1"/>
  <c r="J273" i="1"/>
  <c r="K273" i="1"/>
  <c r="L273" i="1"/>
  <c r="M273" i="1"/>
  <c r="N273" i="1"/>
  <c r="O273" i="1"/>
  <c r="P273" i="1"/>
  <c r="R267" i="1"/>
  <c r="E267" i="1"/>
  <c r="AA267" i="1"/>
  <c r="F267" i="1"/>
  <c r="G267" i="1"/>
  <c r="H267" i="1"/>
  <c r="I267" i="1"/>
  <c r="J267" i="1"/>
  <c r="K267" i="1"/>
  <c r="L267" i="1"/>
  <c r="M267" i="1"/>
  <c r="N267" i="1"/>
  <c r="O267" i="1"/>
  <c r="P267" i="1"/>
  <c r="R269" i="1"/>
  <c r="E269" i="1"/>
  <c r="AA269" i="1"/>
  <c r="F269" i="1"/>
  <c r="G269" i="1"/>
  <c r="H269" i="1"/>
  <c r="I269" i="1"/>
  <c r="J269" i="1"/>
  <c r="K269" i="1"/>
  <c r="L269" i="1"/>
  <c r="M269" i="1"/>
  <c r="N269" i="1"/>
  <c r="O269" i="1"/>
  <c r="P269" i="1"/>
  <c r="R264" i="1"/>
  <c r="E264" i="1"/>
  <c r="AA264" i="1"/>
  <c r="F264" i="1"/>
  <c r="G264" i="1"/>
  <c r="H264" i="1"/>
  <c r="I264" i="1"/>
  <c r="J264" i="1"/>
  <c r="K264" i="1"/>
  <c r="L264" i="1"/>
  <c r="M264" i="1"/>
  <c r="N264" i="1"/>
  <c r="O264" i="1"/>
  <c r="P264" i="1"/>
  <c r="R256" i="1"/>
  <c r="E256" i="1"/>
  <c r="AA256" i="1"/>
  <c r="F256" i="1"/>
  <c r="G256" i="1"/>
  <c r="H256" i="1"/>
  <c r="I256" i="1"/>
  <c r="J256" i="1"/>
  <c r="K256" i="1"/>
  <c r="L256" i="1"/>
  <c r="M256" i="1"/>
  <c r="N256" i="1"/>
  <c r="O256" i="1"/>
  <c r="P256" i="1"/>
  <c r="R257" i="1"/>
  <c r="E257" i="1"/>
  <c r="AA257" i="1"/>
  <c r="F257" i="1"/>
  <c r="G257" i="1"/>
  <c r="H257" i="1"/>
  <c r="I257" i="1"/>
  <c r="J257" i="1"/>
  <c r="K257" i="1"/>
  <c r="L257" i="1"/>
  <c r="M257" i="1"/>
  <c r="N257" i="1"/>
  <c r="O257" i="1"/>
  <c r="P257" i="1"/>
  <c r="R258" i="1"/>
  <c r="E258" i="1"/>
  <c r="AA258" i="1"/>
  <c r="F258" i="1"/>
  <c r="G258" i="1"/>
  <c r="H258" i="1"/>
  <c r="I258" i="1"/>
  <c r="J258" i="1"/>
  <c r="K258" i="1"/>
  <c r="L258" i="1"/>
  <c r="M258" i="1"/>
  <c r="N258" i="1"/>
  <c r="O258" i="1"/>
  <c r="P258" i="1"/>
  <c r="R259" i="1"/>
  <c r="E259" i="1"/>
  <c r="AA259" i="1"/>
  <c r="F259" i="1"/>
  <c r="G259" i="1"/>
  <c r="H259" i="1"/>
  <c r="I259" i="1"/>
  <c r="J259" i="1"/>
  <c r="K259" i="1"/>
  <c r="L259" i="1"/>
  <c r="M259" i="1"/>
  <c r="N259" i="1"/>
  <c r="O259" i="1"/>
  <c r="P259" i="1"/>
  <c r="R261" i="1"/>
  <c r="E261" i="1"/>
  <c r="AA261" i="1"/>
  <c r="F261" i="1"/>
  <c r="G261" i="1"/>
  <c r="H261" i="1"/>
  <c r="I261" i="1"/>
  <c r="J261" i="1"/>
  <c r="K261" i="1"/>
  <c r="L261" i="1"/>
  <c r="M261" i="1"/>
  <c r="N261" i="1"/>
  <c r="O261" i="1"/>
  <c r="P261" i="1"/>
  <c r="R262" i="1"/>
  <c r="E262" i="1"/>
  <c r="AA262" i="1"/>
  <c r="F262" i="1"/>
  <c r="G262" i="1"/>
  <c r="H262" i="1"/>
  <c r="I262" i="1"/>
  <c r="J262" i="1"/>
  <c r="K262" i="1"/>
  <c r="L262" i="1"/>
  <c r="M262" i="1"/>
  <c r="N262" i="1"/>
  <c r="O262" i="1"/>
  <c r="P262" i="1"/>
  <c r="R263" i="1"/>
  <c r="E263" i="1"/>
  <c r="AA263" i="1"/>
  <c r="F263" i="1"/>
  <c r="G263" i="1"/>
  <c r="H263" i="1"/>
  <c r="I263" i="1"/>
  <c r="J263" i="1"/>
  <c r="K263" i="1"/>
  <c r="L263" i="1"/>
  <c r="M263" i="1"/>
  <c r="N263" i="1"/>
  <c r="O263" i="1"/>
  <c r="P263" i="1"/>
  <c r="R251" i="1"/>
  <c r="E251" i="1"/>
  <c r="AA251" i="1"/>
  <c r="F251" i="1"/>
  <c r="G251" i="1"/>
  <c r="H251" i="1"/>
  <c r="I251" i="1"/>
  <c r="J251" i="1"/>
  <c r="K251" i="1"/>
  <c r="L251" i="1"/>
  <c r="M251" i="1"/>
  <c r="N251" i="1"/>
  <c r="O251" i="1"/>
  <c r="P251" i="1"/>
  <c r="R253" i="1"/>
  <c r="E253" i="1"/>
  <c r="AA253" i="1"/>
  <c r="F253" i="1"/>
  <c r="G253" i="1"/>
  <c r="H253" i="1"/>
  <c r="I253" i="1"/>
  <c r="J253" i="1"/>
  <c r="K253" i="1"/>
  <c r="L253" i="1"/>
  <c r="M253" i="1"/>
  <c r="N253" i="1"/>
  <c r="O253" i="1"/>
  <c r="P253" i="1"/>
  <c r="R254" i="1"/>
  <c r="E254" i="1"/>
  <c r="AA254" i="1"/>
  <c r="F254" i="1"/>
  <c r="G254" i="1"/>
  <c r="H254" i="1"/>
  <c r="I254" i="1"/>
  <c r="J254" i="1"/>
  <c r="K254" i="1"/>
  <c r="L254" i="1"/>
  <c r="M254" i="1"/>
  <c r="N254" i="1"/>
  <c r="O254" i="1"/>
  <c r="P254" i="1"/>
  <c r="R248" i="1"/>
  <c r="E248" i="1"/>
  <c r="AA248" i="1"/>
  <c r="F248" i="1"/>
  <c r="G248" i="1"/>
  <c r="H248" i="1"/>
  <c r="I248" i="1"/>
  <c r="J248" i="1"/>
  <c r="K248" i="1"/>
  <c r="L248" i="1"/>
  <c r="M248" i="1"/>
  <c r="N248" i="1"/>
  <c r="O248" i="1"/>
  <c r="P248" i="1"/>
  <c r="R249" i="1"/>
  <c r="E249" i="1"/>
  <c r="AA249" i="1"/>
  <c r="F249" i="1"/>
  <c r="G249" i="1"/>
  <c r="H249" i="1"/>
  <c r="I249" i="1"/>
  <c r="J249" i="1"/>
  <c r="K249" i="1"/>
  <c r="L249" i="1"/>
  <c r="M249" i="1"/>
  <c r="N249" i="1"/>
  <c r="O249" i="1"/>
  <c r="P249" i="1"/>
  <c r="R244" i="1"/>
  <c r="E244" i="1"/>
  <c r="AA244" i="1"/>
  <c r="F244" i="1"/>
  <c r="G244" i="1"/>
  <c r="H244" i="1"/>
  <c r="I244" i="1"/>
  <c r="J244" i="1"/>
  <c r="K244" i="1"/>
  <c r="L244" i="1"/>
  <c r="M244" i="1"/>
  <c r="N244" i="1"/>
  <c r="O244" i="1"/>
  <c r="P244" i="1"/>
  <c r="R246" i="1"/>
  <c r="E246" i="1"/>
  <c r="AA246" i="1"/>
  <c r="F246" i="1"/>
  <c r="G246" i="1"/>
  <c r="H246" i="1"/>
  <c r="I246" i="1"/>
  <c r="J246" i="1"/>
  <c r="K246" i="1"/>
  <c r="L246" i="1"/>
  <c r="M246" i="1"/>
  <c r="N246" i="1"/>
  <c r="O246" i="1"/>
  <c r="P246" i="1"/>
  <c r="R242" i="1"/>
  <c r="E242" i="1"/>
  <c r="AA242" i="1"/>
  <c r="F242" i="1"/>
  <c r="G242" i="1"/>
  <c r="H242" i="1"/>
  <c r="I242" i="1"/>
  <c r="J242" i="1"/>
  <c r="K242" i="1"/>
  <c r="L242" i="1"/>
  <c r="M242" i="1"/>
  <c r="N242" i="1"/>
  <c r="O242" i="1"/>
  <c r="P242" i="1"/>
  <c r="R240" i="1"/>
  <c r="E240" i="1"/>
  <c r="AA240" i="1"/>
  <c r="F240" i="1"/>
  <c r="G240" i="1"/>
  <c r="H240" i="1"/>
  <c r="I240" i="1"/>
  <c r="J240" i="1"/>
  <c r="K240" i="1"/>
  <c r="L240" i="1"/>
  <c r="M240" i="1"/>
  <c r="N240" i="1"/>
  <c r="O240" i="1"/>
  <c r="P240" i="1"/>
  <c r="R239" i="1"/>
  <c r="E239" i="1"/>
  <c r="AA239" i="1"/>
  <c r="F239" i="1"/>
  <c r="G239" i="1"/>
  <c r="H239" i="1"/>
  <c r="I239" i="1"/>
  <c r="J239" i="1"/>
  <c r="K239" i="1"/>
  <c r="L239" i="1"/>
  <c r="M239" i="1"/>
  <c r="N239" i="1"/>
  <c r="O239" i="1"/>
  <c r="P239" i="1"/>
  <c r="R236" i="1"/>
  <c r="E236" i="1"/>
  <c r="AA236" i="1"/>
  <c r="F236" i="1"/>
  <c r="G236" i="1"/>
  <c r="H236" i="1"/>
  <c r="I236" i="1"/>
  <c r="J236" i="1"/>
  <c r="K236" i="1"/>
  <c r="L236" i="1"/>
  <c r="M236" i="1"/>
  <c r="N236" i="1"/>
  <c r="O236" i="1"/>
  <c r="P236" i="1"/>
  <c r="R233" i="1"/>
  <c r="E233" i="1"/>
  <c r="AA233" i="1"/>
  <c r="F233" i="1"/>
  <c r="G233" i="1"/>
  <c r="H233" i="1"/>
  <c r="I233" i="1"/>
  <c r="J233" i="1"/>
  <c r="K233" i="1"/>
  <c r="L233" i="1"/>
  <c r="M233" i="1"/>
  <c r="N233" i="1"/>
  <c r="O233" i="1"/>
  <c r="P233" i="1"/>
  <c r="R232" i="1"/>
  <c r="E232" i="1"/>
  <c r="AA232" i="1"/>
  <c r="F232" i="1"/>
  <c r="G232" i="1"/>
  <c r="H232" i="1"/>
  <c r="I232" i="1"/>
  <c r="J232" i="1"/>
  <c r="K232" i="1"/>
  <c r="L232" i="1"/>
  <c r="M232" i="1"/>
  <c r="N232" i="1"/>
  <c r="O232" i="1"/>
  <c r="P232" i="1"/>
  <c r="R231" i="1"/>
  <c r="E231" i="1"/>
  <c r="AA231" i="1"/>
  <c r="F231" i="1"/>
  <c r="G231" i="1"/>
  <c r="H231" i="1"/>
  <c r="I231" i="1"/>
  <c r="J231" i="1"/>
  <c r="K231" i="1"/>
  <c r="L231" i="1"/>
  <c r="M231" i="1"/>
  <c r="N231" i="1"/>
  <c r="O231" i="1"/>
  <c r="P231" i="1"/>
  <c r="R223" i="1"/>
  <c r="E223" i="1"/>
  <c r="AA223" i="1"/>
  <c r="F223" i="1"/>
  <c r="G223" i="1"/>
  <c r="H223" i="1"/>
  <c r="I223" i="1"/>
  <c r="J223" i="1"/>
  <c r="K223" i="1"/>
  <c r="L223" i="1"/>
  <c r="M223" i="1"/>
  <c r="N223" i="1"/>
  <c r="O223" i="1"/>
  <c r="P223" i="1"/>
  <c r="R224" i="1"/>
  <c r="E224" i="1"/>
  <c r="AA224" i="1"/>
  <c r="F224" i="1"/>
  <c r="G224" i="1"/>
  <c r="H224" i="1"/>
  <c r="I224" i="1"/>
  <c r="J224" i="1"/>
  <c r="K224" i="1"/>
  <c r="L224" i="1"/>
  <c r="M224" i="1"/>
  <c r="N224" i="1"/>
  <c r="O224" i="1"/>
  <c r="P224" i="1"/>
  <c r="R218" i="1"/>
  <c r="E218" i="1"/>
  <c r="AA218" i="1"/>
  <c r="F218" i="1"/>
  <c r="G218" i="1"/>
  <c r="H218" i="1"/>
  <c r="I218" i="1"/>
  <c r="J218" i="1"/>
  <c r="K218" i="1"/>
  <c r="L218" i="1"/>
  <c r="M218" i="1"/>
  <c r="N218" i="1"/>
  <c r="O218" i="1"/>
  <c r="P218" i="1"/>
  <c r="R219" i="1"/>
  <c r="E219" i="1"/>
  <c r="AA219" i="1"/>
  <c r="F219" i="1"/>
  <c r="G219" i="1"/>
  <c r="H219" i="1"/>
  <c r="I219" i="1"/>
  <c r="J219" i="1"/>
  <c r="K219" i="1"/>
  <c r="L219" i="1"/>
  <c r="M219" i="1"/>
  <c r="N219" i="1"/>
  <c r="O219" i="1"/>
  <c r="P219" i="1"/>
  <c r="R221" i="1"/>
  <c r="E221" i="1"/>
  <c r="AA221" i="1"/>
  <c r="F221" i="1"/>
  <c r="G221" i="1"/>
  <c r="H221" i="1"/>
  <c r="I221" i="1"/>
  <c r="J221" i="1"/>
  <c r="K221" i="1"/>
  <c r="L221" i="1"/>
  <c r="M221" i="1"/>
  <c r="N221" i="1"/>
  <c r="O221" i="1"/>
  <c r="P221" i="1"/>
  <c r="R216" i="1"/>
  <c r="E216" i="1"/>
  <c r="AA216" i="1"/>
  <c r="F216" i="1"/>
  <c r="G216" i="1"/>
  <c r="H216" i="1"/>
  <c r="I216" i="1"/>
  <c r="J216" i="1"/>
  <c r="K216" i="1"/>
  <c r="L216" i="1"/>
  <c r="M216" i="1"/>
  <c r="N216" i="1"/>
  <c r="O216" i="1"/>
  <c r="P216" i="1"/>
  <c r="R217" i="1"/>
  <c r="E217" i="1"/>
  <c r="AA217" i="1"/>
  <c r="F217" i="1"/>
  <c r="G217" i="1"/>
  <c r="H217" i="1"/>
  <c r="I217" i="1"/>
  <c r="J217" i="1"/>
  <c r="K217" i="1"/>
  <c r="L217" i="1"/>
  <c r="M217" i="1"/>
  <c r="N217" i="1"/>
  <c r="O217" i="1"/>
  <c r="P217" i="1"/>
  <c r="R213" i="1"/>
  <c r="E213" i="1"/>
  <c r="AA213" i="1"/>
  <c r="F213" i="1"/>
  <c r="G213" i="1"/>
  <c r="H213" i="1"/>
  <c r="I213" i="1"/>
  <c r="J213" i="1"/>
  <c r="K213" i="1"/>
  <c r="L213" i="1"/>
  <c r="M213" i="1"/>
  <c r="N213" i="1"/>
  <c r="O213" i="1"/>
  <c r="P213" i="1"/>
  <c r="R212" i="1"/>
  <c r="E212" i="1"/>
  <c r="AA212" i="1"/>
  <c r="F212" i="1"/>
  <c r="G212" i="1"/>
  <c r="H212" i="1"/>
  <c r="I212" i="1"/>
  <c r="J212" i="1"/>
  <c r="K212" i="1"/>
  <c r="L212" i="1"/>
  <c r="M212" i="1"/>
  <c r="N212" i="1"/>
  <c r="O212" i="1"/>
  <c r="P212" i="1"/>
  <c r="R211" i="1"/>
  <c r="E211" i="1"/>
  <c r="AA211" i="1"/>
  <c r="F211" i="1"/>
  <c r="G211" i="1"/>
  <c r="H211" i="1"/>
  <c r="I211" i="1"/>
  <c r="J211" i="1"/>
  <c r="K211" i="1"/>
  <c r="L211" i="1"/>
  <c r="M211" i="1"/>
  <c r="N211" i="1"/>
  <c r="O211" i="1"/>
  <c r="P211" i="1"/>
  <c r="R210" i="1"/>
  <c r="E210" i="1"/>
  <c r="AA210" i="1"/>
  <c r="F210" i="1"/>
  <c r="G210" i="1"/>
  <c r="H210" i="1"/>
  <c r="I210" i="1"/>
  <c r="J210" i="1"/>
  <c r="K210" i="1"/>
  <c r="L210" i="1"/>
  <c r="M210" i="1"/>
  <c r="N210" i="1"/>
  <c r="O210" i="1"/>
  <c r="P210" i="1"/>
  <c r="R207" i="1"/>
  <c r="E207" i="1"/>
  <c r="AA207" i="1"/>
  <c r="F207" i="1"/>
  <c r="G207" i="1"/>
  <c r="H207" i="1"/>
  <c r="I207" i="1"/>
  <c r="J207" i="1"/>
  <c r="K207" i="1"/>
  <c r="L207" i="1"/>
  <c r="M207" i="1"/>
  <c r="N207" i="1"/>
  <c r="O207" i="1"/>
  <c r="P207" i="1"/>
  <c r="R209" i="1"/>
  <c r="E209" i="1"/>
  <c r="AA209" i="1"/>
  <c r="F209" i="1"/>
  <c r="G209" i="1"/>
  <c r="H209" i="1"/>
  <c r="I209" i="1"/>
  <c r="J209" i="1"/>
  <c r="K209" i="1"/>
  <c r="L209" i="1"/>
  <c r="M209" i="1"/>
  <c r="N209" i="1"/>
  <c r="O209" i="1"/>
  <c r="P209" i="1"/>
  <c r="R206" i="1"/>
  <c r="E206" i="1"/>
  <c r="AA206" i="1"/>
  <c r="F206" i="1"/>
  <c r="G206" i="1"/>
  <c r="H206" i="1"/>
  <c r="I206" i="1"/>
  <c r="J206" i="1"/>
  <c r="K206" i="1"/>
  <c r="L206" i="1"/>
  <c r="M206" i="1"/>
  <c r="N206" i="1"/>
  <c r="O206" i="1"/>
  <c r="P206" i="1"/>
  <c r="R201" i="1"/>
  <c r="E201" i="1"/>
  <c r="AA201" i="1"/>
  <c r="F201" i="1"/>
  <c r="G201" i="1"/>
  <c r="H201" i="1"/>
  <c r="I201" i="1"/>
  <c r="J201" i="1"/>
  <c r="K201" i="1"/>
  <c r="L201" i="1"/>
  <c r="M201" i="1"/>
  <c r="N201" i="1"/>
  <c r="O201" i="1"/>
  <c r="P201" i="1"/>
  <c r="R202" i="1"/>
  <c r="E202" i="1"/>
  <c r="AA202" i="1"/>
  <c r="F202" i="1"/>
  <c r="G202" i="1"/>
  <c r="H202" i="1"/>
  <c r="I202" i="1"/>
  <c r="J202" i="1"/>
  <c r="K202" i="1"/>
  <c r="L202" i="1"/>
  <c r="M202" i="1"/>
  <c r="N202" i="1"/>
  <c r="O202" i="1"/>
  <c r="P202" i="1"/>
  <c r="R203" i="1"/>
  <c r="E203" i="1"/>
  <c r="AA203" i="1"/>
  <c r="F203" i="1"/>
  <c r="G203" i="1"/>
  <c r="H203" i="1"/>
  <c r="I203" i="1"/>
  <c r="J203" i="1"/>
  <c r="K203" i="1"/>
  <c r="L203" i="1"/>
  <c r="M203" i="1"/>
  <c r="N203" i="1"/>
  <c r="O203" i="1"/>
  <c r="P203" i="1"/>
  <c r="R204" i="1"/>
  <c r="E204" i="1"/>
  <c r="AA204" i="1"/>
  <c r="F204" i="1"/>
  <c r="G204" i="1"/>
  <c r="H204" i="1"/>
  <c r="I204" i="1"/>
  <c r="J204" i="1"/>
  <c r="K204" i="1"/>
  <c r="L204" i="1"/>
  <c r="M204" i="1"/>
  <c r="N204" i="1"/>
  <c r="O204" i="1"/>
  <c r="P204" i="1"/>
  <c r="R188" i="1"/>
  <c r="E188" i="1"/>
  <c r="AA188" i="1"/>
  <c r="F188" i="1"/>
  <c r="G188" i="1"/>
  <c r="H188" i="1"/>
  <c r="I188" i="1"/>
  <c r="J188" i="1"/>
  <c r="K188" i="1"/>
  <c r="L188" i="1"/>
  <c r="M188" i="1"/>
  <c r="N188" i="1"/>
  <c r="O188" i="1"/>
  <c r="P188" i="1"/>
  <c r="R190" i="1"/>
  <c r="E190" i="1"/>
  <c r="AA190" i="1"/>
  <c r="F190" i="1"/>
  <c r="G190" i="1"/>
  <c r="H190" i="1"/>
  <c r="I190" i="1"/>
  <c r="J190" i="1"/>
  <c r="K190" i="1"/>
  <c r="L190" i="1"/>
  <c r="M190" i="1"/>
  <c r="N190" i="1"/>
  <c r="O190" i="1"/>
  <c r="P190" i="1"/>
  <c r="R193" i="1"/>
  <c r="E193" i="1"/>
  <c r="AA193" i="1"/>
  <c r="F193" i="1"/>
  <c r="G193" i="1"/>
  <c r="H193" i="1"/>
  <c r="I193" i="1"/>
  <c r="J193" i="1"/>
  <c r="K193" i="1"/>
  <c r="L193" i="1"/>
  <c r="M193" i="1"/>
  <c r="N193" i="1"/>
  <c r="O193" i="1"/>
  <c r="P193" i="1"/>
  <c r="R194" i="1"/>
  <c r="E194" i="1"/>
  <c r="AA194" i="1"/>
  <c r="F194" i="1"/>
  <c r="G194" i="1"/>
  <c r="H194" i="1"/>
  <c r="I194" i="1"/>
  <c r="J194" i="1"/>
  <c r="K194" i="1"/>
  <c r="L194" i="1"/>
  <c r="M194" i="1"/>
  <c r="N194" i="1"/>
  <c r="O194" i="1"/>
  <c r="P194" i="1"/>
  <c r="R196" i="1"/>
  <c r="E196" i="1"/>
  <c r="AA196" i="1"/>
  <c r="F196" i="1"/>
  <c r="G196" i="1"/>
  <c r="H196" i="1"/>
  <c r="I196" i="1"/>
  <c r="J196" i="1"/>
  <c r="K196" i="1"/>
  <c r="L196" i="1"/>
  <c r="M196" i="1"/>
  <c r="N196" i="1"/>
  <c r="O196" i="1"/>
  <c r="P196" i="1"/>
  <c r="R186" i="1"/>
  <c r="E186" i="1"/>
  <c r="AA186" i="1"/>
  <c r="F186" i="1"/>
  <c r="G186" i="1"/>
  <c r="H186" i="1"/>
  <c r="I186" i="1"/>
  <c r="J186" i="1"/>
  <c r="K186" i="1"/>
  <c r="L186" i="1"/>
  <c r="M186" i="1"/>
  <c r="N186" i="1"/>
  <c r="O186" i="1"/>
  <c r="P186" i="1"/>
  <c r="R187" i="1"/>
  <c r="E187" i="1"/>
  <c r="AA187" i="1"/>
  <c r="F187" i="1"/>
  <c r="G187" i="1"/>
  <c r="H187" i="1"/>
  <c r="I187" i="1"/>
  <c r="J187" i="1"/>
  <c r="K187" i="1"/>
  <c r="L187" i="1"/>
  <c r="M187" i="1"/>
  <c r="N187" i="1"/>
  <c r="O187" i="1"/>
  <c r="P187" i="1"/>
  <c r="R180" i="1"/>
  <c r="E180" i="1"/>
  <c r="AA180" i="1"/>
  <c r="F180" i="1"/>
  <c r="G180" i="1"/>
  <c r="H180" i="1"/>
  <c r="I180" i="1"/>
  <c r="J180" i="1"/>
  <c r="K180" i="1"/>
  <c r="L180" i="1"/>
  <c r="M180" i="1"/>
  <c r="N180" i="1"/>
  <c r="O180" i="1"/>
  <c r="P180" i="1"/>
  <c r="R181" i="1"/>
  <c r="E181" i="1"/>
  <c r="AA181" i="1"/>
  <c r="F181" i="1"/>
  <c r="G181" i="1"/>
  <c r="H181" i="1"/>
  <c r="I181" i="1"/>
  <c r="J181" i="1"/>
  <c r="K181" i="1"/>
  <c r="L181" i="1"/>
  <c r="M181" i="1"/>
  <c r="N181" i="1"/>
  <c r="O181" i="1"/>
  <c r="P181" i="1"/>
  <c r="R182" i="1"/>
  <c r="E182" i="1"/>
  <c r="AA182" i="1"/>
  <c r="F182" i="1"/>
  <c r="G182" i="1"/>
  <c r="H182" i="1"/>
  <c r="I182" i="1"/>
  <c r="J182" i="1"/>
  <c r="K182" i="1"/>
  <c r="L182" i="1"/>
  <c r="M182" i="1"/>
  <c r="N182" i="1"/>
  <c r="O182" i="1"/>
  <c r="P182" i="1"/>
  <c r="R183" i="1"/>
  <c r="E183" i="1"/>
  <c r="AA183" i="1"/>
  <c r="F183" i="1"/>
  <c r="G183" i="1"/>
  <c r="H183" i="1"/>
  <c r="I183" i="1"/>
  <c r="J183" i="1"/>
  <c r="K183" i="1"/>
  <c r="L183" i="1"/>
  <c r="M183" i="1"/>
  <c r="N183" i="1"/>
  <c r="O183" i="1"/>
  <c r="P183" i="1"/>
  <c r="R185" i="1"/>
  <c r="E185" i="1"/>
  <c r="AA185" i="1"/>
  <c r="F185" i="1"/>
  <c r="G185" i="1"/>
  <c r="H185" i="1"/>
  <c r="I185" i="1"/>
  <c r="J185" i="1"/>
  <c r="K185" i="1"/>
  <c r="L185" i="1"/>
  <c r="M185" i="1"/>
  <c r="N185" i="1"/>
  <c r="O185" i="1"/>
  <c r="P185" i="1"/>
  <c r="R178" i="1"/>
  <c r="E178" i="1"/>
  <c r="AA178" i="1"/>
  <c r="F178" i="1"/>
  <c r="G178" i="1"/>
  <c r="H178" i="1"/>
  <c r="I178" i="1"/>
  <c r="J178" i="1"/>
  <c r="K178" i="1"/>
  <c r="L178" i="1"/>
  <c r="M178" i="1"/>
  <c r="N178" i="1"/>
  <c r="O178" i="1"/>
  <c r="P178" i="1"/>
  <c r="R175" i="1"/>
  <c r="E175" i="1"/>
  <c r="AA175" i="1"/>
  <c r="F175" i="1"/>
  <c r="G175" i="1"/>
  <c r="H175" i="1"/>
  <c r="I175" i="1"/>
  <c r="J175" i="1"/>
  <c r="K175" i="1"/>
  <c r="L175" i="1"/>
  <c r="M175" i="1"/>
  <c r="N175" i="1"/>
  <c r="O175" i="1"/>
  <c r="P175" i="1"/>
  <c r="R173" i="1"/>
  <c r="E173" i="1"/>
  <c r="AA173" i="1"/>
  <c r="F173" i="1"/>
  <c r="G173" i="1"/>
  <c r="H173" i="1"/>
  <c r="I173" i="1"/>
  <c r="J173" i="1"/>
  <c r="K173" i="1"/>
  <c r="L173" i="1"/>
  <c r="M173" i="1"/>
  <c r="N173" i="1"/>
  <c r="O173" i="1"/>
  <c r="P173" i="1"/>
  <c r="R174" i="1"/>
  <c r="E174" i="1"/>
  <c r="AA174" i="1"/>
  <c r="F174" i="1"/>
  <c r="G174" i="1"/>
  <c r="H174" i="1"/>
  <c r="I174" i="1"/>
  <c r="J174" i="1"/>
  <c r="K174" i="1"/>
  <c r="L174" i="1"/>
  <c r="M174" i="1"/>
  <c r="N174" i="1"/>
  <c r="O174" i="1"/>
  <c r="P174" i="1"/>
  <c r="R161" i="1"/>
  <c r="E161" i="1"/>
  <c r="AA161" i="1"/>
  <c r="F161" i="1"/>
  <c r="G161" i="1"/>
  <c r="H161" i="1"/>
  <c r="I161" i="1"/>
  <c r="J161" i="1"/>
  <c r="K161" i="1"/>
  <c r="L161" i="1"/>
  <c r="M161" i="1"/>
  <c r="N161" i="1"/>
  <c r="O161" i="1"/>
  <c r="P161" i="1"/>
  <c r="R162" i="1"/>
  <c r="E162" i="1"/>
  <c r="AA162" i="1"/>
  <c r="F162" i="1"/>
  <c r="G162" i="1"/>
  <c r="H162" i="1"/>
  <c r="I162" i="1"/>
  <c r="J162" i="1"/>
  <c r="K162" i="1"/>
  <c r="L162" i="1"/>
  <c r="M162" i="1"/>
  <c r="N162" i="1"/>
  <c r="O162" i="1"/>
  <c r="P162" i="1"/>
  <c r="R163" i="1"/>
  <c r="E163" i="1"/>
  <c r="AA163" i="1"/>
  <c r="F163" i="1"/>
  <c r="G163" i="1"/>
  <c r="H163" i="1"/>
  <c r="I163" i="1"/>
  <c r="J163" i="1"/>
  <c r="K163" i="1"/>
  <c r="L163" i="1"/>
  <c r="M163" i="1"/>
  <c r="N163" i="1"/>
  <c r="O163" i="1"/>
  <c r="P163" i="1"/>
  <c r="R164" i="1"/>
  <c r="E164" i="1"/>
  <c r="AA164" i="1"/>
  <c r="F164" i="1"/>
  <c r="G164" i="1"/>
  <c r="H164" i="1"/>
  <c r="I164" i="1"/>
  <c r="J164" i="1"/>
  <c r="K164" i="1"/>
  <c r="L164" i="1"/>
  <c r="M164" i="1"/>
  <c r="N164" i="1"/>
  <c r="O164" i="1"/>
  <c r="P164" i="1"/>
  <c r="R157" i="1"/>
  <c r="E157" i="1"/>
  <c r="AA157" i="1"/>
  <c r="F157" i="1"/>
  <c r="G157" i="1"/>
  <c r="H157" i="1"/>
  <c r="I157" i="1"/>
  <c r="J157" i="1"/>
  <c r="K157" i="1"/>
  <c r="L157" i="1"/>
  <c r="M157" i="1"/>
  <c r="N157" i="1"/>
  <c r="O157" i="1"/>
  <c r="P157" i="1"/>
  <c r="R155" i="1"/>
  <c r="E155" i="1"/>
  <c r="AA155" i="1"/>
  <c r="F155" i="1"/>
  <c r="G155" i="1"/>
  <c r="H155" i="1"/>
  <c r="I155" i="1"/>
  <c r="J155" i="1"/>
  <c r="K155" i="1"/>
  <c r="L155" i="1"/>
  <c r="M155" i="1"/>
  <c r="N155" i="1"/>
  <c r="O155" i="1"/>
  <c r="P155" i="1"/>
  <c r="R156" i="1"/>
  <c r="E156" i="1"/>
  <c r="AA156" i="1"/>
  <c r="F156" i="1"/>
  <c r="G156" i="1"/>
  <c r="H156" i="1"/>
  <c r="I156" i="1"/>
  <c r="J156" i="1"/>
  <c r="K156" i="1"/>
  <c r="L156" i="1"/>
  <c r="M156" i="1"/>
  <c r="N156" i="1"/>
  <c r="O156" i="1"/>
  <c r="P156" i="1"/>
  <c r="R151" i="1"/>
  <c r="E151" i="1"/>
  <c r="AA151" i="1"/>
  <c r="F151" i="1"/>
  <c r="G151" i="1"/>
  <c r="H151" i="1"/>
  <c r="I151" i="1"/>
  <c r="J151" i="1"/>
  <c r="K151" i="1"/>
  <c r="L151" i="1"/>
  <c r="M151" i="1"/>
  <c r="N151" i="1"/>
  <c r="O151" i="1"/>
  <c r="P151" i="1"/>
  <c r="R152" i="1"/>
  <c r="E152" i="1"/>
  <c r="AA152" i="1"/>
  <c r="F152" i="1"/>
  <c r="G152" i="1"/>
  <c r="H152" i="1"/>
  <c r="I152" i="1"/>
  <c r="J152" i="1"/>
  <c r="K152" i="1"/>
  <c r="L152" i="1"/>
  <c r="M152" i="1"/>
  <c r="N152" i="1"/>
  <c r="O152" i="1"/>
  <c r="P152" i="1"/>
  <c r="R132" i="1"/>
  <c r="E132" i="1"/>
  <c r="AA132" i="1"/>
  <c r="F132" i="1"/>
  <c r="G132" i="1"/>
  <c r="H132" i="1"/>
  <c r="I132" i="1"/>
  <c r="J132" i="1"/>
  <c r="K132" i="1"/>
  <c r="L132" i="1"/>
  <c r="M132" i="1"/>
  <c r="N132" i="1"/>
  <c r="O132" i="1"/>
  <c r="P132" i="1"/>
  <c r="R133" i="1"/>
  <c r="E133" i="1"/>
  <c r="AA133" i="1"/>
  <c r="F133" i="1"/>
  <c r="G133" i="1"/>
  <c r="H133" i="1"/>
  <c r="I133" i="1"/>
  <c r="J133" i="1"/>
  <c r="K133" i="1"/>
  <c r="L133" i="1"/>
  <c r="M133" i="1"/>
  <c r="N133" i="1"/>
  <c r="O133" i="1"/>
  <c r="P133" i="1"/>
  <c r="R134" i="1"/>
  <c r="E134" i="1"/>
  <c r="AA134" i="1"/>
  <c r="F134" i="1"/>
  <c r="G134" i="1"/>
  <c r="H134" i="1"/>
  <c r="I134" i="1"/>
  <c r="J134" i="1"/>
  <c r="K134" i="1"/>
  <c r="L134" i="1"/>
  <c r="M134" i="1"/>
  <c r="N134" i="1"/>
  <c r="O134" i="1"/>
  <c r="P134" i="1"/>
  <c r="R135" i="1"/>
  <c r="E135" i="1"/>
  <c r="AA135" i="1"/>
  <c r="F135" i="1"/>
  <c r="G135" i="1"/>
  <c r="H135" i="1"/>
  <c r="I135" i="1"/>
  <c r="J135" i="1"/>
  <c r="K135" i="1"/>
  <c r="L135" i="1"/>
  <c r="M135" i="1"/>
  <c r="N135" i="1"/>
  <c r="O135" i="1"/>
  <c r="P135" i="1"/>
  <c r="R136" i="1"/>
  <c r="E136" i="1"/>
  <c r="AA136" i="1"/>
  <c r="F136" i="1"/>
  <c r="G136" i="1"/>
  <c r="H136" i="1"/>
  <c r="I136" i="1"/>
  <c r="J136" i="1"/>
  <c r="K136" i="1"/>
  <c r="L136" i="1"/>
  <c r="M136" i="1"/>
  <c r="N136" i="1"/>
  <c r="O136" i="1"/>
  <c r="P136" i="1"/>
  <c r="R138" i="1"/>
  <c r="E138" i="1"/>
  <c r="AA138" i="1"/>
  <c r="F138" i="1"/>
  <c r="G138" i="1"/>
  <c r="H138" i="1"/>
  <c r="I138" i="1"/>
  <c r="J138" i="1"/>
  <c r="K138" i="1"/>
  <c r="L138" i="1"/>
  <c r="M138" i="1"/>
  <c r="N138" i="1"/>
  <c r="O138" i="1"/>
  <c r="P138" i="1"/>
  <c r="R139" i="1"/>
  <c r="E139" i="1"/>
  <c r="AA139" i="1"/>
  <c r="F139" i="1"/>
  <c r="G139" i="1"/>
  <c r="H139" i="1"/>
  <c r="I139" i="1"/>
  <c r="J139" i="1"/>
  <c r="K139" i="1"/>
  <c r="L139" i="1"/>
  <c r="M139" i="1"/>
  <c r="N139" i="1"/>
  <c r="O139" i="1"/>
  <c r="P139" i="1"/>
  <c r="R140" i="1"/>
  <c r="E140" i="1"/>
  <c r="AA140" i="1"/>
  <c r="F140" i="1"/>
  <c r="G140" i="1"/>
  <c r="H140" i="1"/>
  <c r="I140" i="1"/>
  <c r="J140" i="1"/>
  <c r="K140" i="1"/>
  <c r="L140" i="1"/>
  <c r="M140" i="1"/>
  <c r="N140" i="1"/>
  <c r="O140" i="1"/>
  <c r="P140" i="1"/>
  <c r="R142" i="1"/>
  <c r="E142" i="1"/>
  <c r="AA142" i="1"/>
  <c r="F142" i="1"/>
  <c r="G142" i="1"/>
  <c r="H142" i="1"/>
  <c r="I142" i="1"/>
  <c r="J142" i="1"/>
  <c r="K142" i="1"/>
  <c r="L142" i="1"/>
  <c r="M142" i="1"/>
  <c r="N142" i="1"/>
  <c r="O142" i="1"/>
  <c r="P142" i="1"/>
  <c r="R143" i="1"/>
  <c r="E143" i="1"/>
  <c r="AA143" i="1"/>
  <c r="F143" i="1"/>
  <c r="G143" i="1"/>
  <c r="H143" i="1"/>
  <c r="I143" i="1"/>
  <c r="J143" i="1"/>
  <c r="K143" i="1"/>
  <c r="L143" i="1"/>
  <c r="M143" i="1"/>
  <c r="N143" i="1"/>
  <c r="O143" i="1"/>
  <c r="P143" i="1"/>
  <c r="R144" i="1"/>
  <c r="E144" i="1"/>
  <c r="AA144" i="1"/>
  <c r="F144" i="1"/>
  <c r="G144" i="1"/>
  <c r="H144" i="1"/>
  <c r="I144" i="1"/>
  <c r="J144" i="1"/>
  <c r="K144" i="1"/>
  <c r="L144" i="1"/>
  <c r="M144" i="1"/>
  <c r="N144" i="1"/>
  <c r="O144" i="1"/>
  <c r="P144" i="1"/>
  <c r="R145" i="1"/>
  <c r="E145" i="1"/>
  <c r="AA145" i="1"/>
  <c r="F145" i="1"/>
  <c r="G145" i="1"/>
  <c r="H145" i="1"/>
  <c r="I145" i="1"/>
  <c r="J145" i="1"/>
  <c r="K145" i="1"/>
  <c r="L145" i="1"/>
  <c r="M145" i="1"/>
  <c r="N145" i="1"/>
  <c r="O145" i="1"/>
  <c r="P145" i="1"/>
  <c r="R146" i="1"/>
  <c r="E146" i="1"/>
  <c r="AA146" i="1"/>
  <c r="F146" i="1"/>
  <c r="G146" i="1"/>
  <c r="H146" i="1"/>
  <c r="I146" i="1"/>
  <c r="J146" i="1"/>
  <c r="K146" i="1"/>
  <c r="L146" i="1"/>
  <c r="M146" i="1"/>
  <c r="N146" i="1"/>
  <c r="O146" i="1"/>
  <c r="P146" i="1"/>
  <c r="R148" i="1"/>
  <c r="E148" i="1"/>
  <c r="AA148" i="1"/>
  <c r="F148" i="1"/>
  <c r="G148" i="1"/>
  <c r="H148" i="1"/>
  <c r="I148" i="1"/>
  <c r="J148" i="1"/>
  <c r="K148" i="1"/>
  <c r="L148" i="1"/>
  <c r="M148" i="1"/>
  <c r="N148" i="1"/>
  <c r="O148" i="1"/>
  <c r="P148" i="1"/>
  <c r="R149" i="1"/>
  <c r="E149" i="1"/>
  <c r="AA149" i="1"/>
  <c r="F149" i="1"/>
  <c r="G149" i="1"/>
  <c r="H149" i="1"/>
  <c r="I149" i="1"/>
  <c r="J149" i="1"/>
  <c r="K149" i="1"/>
  <c r="L149" i="1"/>
  <c r="M149" i="1"/>
  <c r="N149" i="1"/>
  <c r="O149" i="1"/>
  <c r="P149" i="1"/>
  <c r="R129" i="1"/>
  <c r="E129" i="1"/>
  <c r="AA129" i="1"/>
  <c r="F129" i="1"/>
  <c r="G129" i="1"/>
  <c r="H129" i="1"/>
  <c r="I129" i="1"/>
  <c r="J129" i="1"/>
  <c r="K129" i="1"/>
  <c r="L129" i="1"/>
  <c r="M129" i="1"/>
  <c r="N129" i="1"/>
  <c r="O129" i="1"/>
  <c r="P129" i="1"/>
  <c r="R104" i="1"/>
  <c r="E104" i="1"/>
  <c r="AA104" i="1"/>
  <c r="F104" i="1"/>
  <c r="G104" i="1"/>
  <c r="H104" i="1"/>
  <c r="I104" i="1"/>
  <c r="J104" i="1"/>
  <c r="K104" i="1"/>
  <c r="L104" i="1"/>
  <c r="M104" i="1"/>
  <c r="N104" i="1"/>
  <c r="O104" i="1"/>
  <c r="P104" i="1"/>
  <c r="R106" i="1"/>
  <c r="E106" i="1"/>
  <c r="AA106" i="1"/>
  <c r="F106" i="1"/>
  <c r="G106" i="1"/>
  <c r="H106" i="1"/>
  <c r="I106" i="1"/>
  <c r="J106" i="1"/>
  <c r="K106" i="1"/>
  <c r="L106" i="1"/>
  <c r="M106" i="1"/>
  <c r="N106" i="1"/>
  <c r="O106" i="1"/>
  <c r="P106" i="1"/>
  <c r="R109" i="1"/>
  <c r="E109" i="1"/>
  <c r="AA109" i="1"/>
  <c r="F109" i="1"/>
  <c r="G109" i="1"/>
  <c r="H109" i="1"/>
  <c r="I109" i="1"/>
  <c r="J109" i="1"/>
  <c r="K109" i="1"/>
  <c r="L109" i="1"/>
  <c r="M109" i="1"/>
  <c r="N109" i="1"/>
  <c r="O109" i="1"/>
  <c r="P109" i="1"/>
  <c r="R111" i="1"/>
  <c r="E111" i="1"/>
  <c r="AA111" i="1"/>
  <c r="F111" i="1"/>
  <c r="G111" i="1"/>
  <c r="H111" i="1"/>
  <c r="I111" i="1"/>
  <c r="J111" i="1"/>
  <c r="K111" i="1"/>
  <c r="L111" i="1"/>
  <c r="M111" i="1"/>
  <c r="N111" i="1"/>
  <c r="O111" i="1"/>
  <c r="P111" i="1"/>
  <c r="R112" i="1"/>
  <c r="E112" i="1"/>
  <c r="AA112" i="1"/>
  <c r="F112" i="1"/>
  <c r="G112" i="1"/>
  <c r="H112" i="1"/>
  <c r="I112" i="1"/>
  <c r="J112" i="1"/>
  <c r="K112" i="1"/>
  <c r="L112" i="1"/>
  <c r="M112" i="1"/>
  <c r="N112" i="1"/>
  <c r="O112" i="1"/>
  <c r="P112" i="1"/>
  <c r="R113" i="1"/>
  <c r="E113" i="1"/>
  <c r="AA113" i="1"/>
  <c r="F113" i="1"/>
  <c r="G113" i="1"/>
  <c r="H113" i="1"/>
  <c r="I113" i="1"/>
  <c r="J113" i="1"/>
  <c r="K113" i="1"/>
  <c r="L113" i="1"/>
  <c r="M113" i="1"/>
  <c r="N113" i="1"/>
  <c r="O113" i="1"/>
  <c r="P113" i="1"/>
  <c r="R114" i="1"/>
  <c r="E114" i="1"/>
  <c r="AA114" i="1"/>
  <c r="F114" i="1"/>
  <c r="G114" i="1"/>
  <c r="H114" i="1"/>
  <c r="I114" i="1"/>
  <c r="J114" i="1"/>
  <c r="K114" i="1"/>
  <c r="L114" i="1"/>
  <c r="M114" i="1"/>
  <c r="N114" i="1"/>
  <c r="O114" i="1"/>
  <c r="P114" i="1"/>
  <c r="R115" i="1"/>
  <c r="E115" i="1"/>
  <c r="AA115" i="1"/>
  <c r="F115" i="1"/>
  <c r="G115" i="1"/>
  <c r="H115" i="1"/>
  <c r="I115" i="1"/>
  <c r="J115" i="1"/>
  <c r="K115" i="1"/>
  <c r="L115" i="1"/>
  <c r="M115" i="1"/>
  <c r="N115" i="1"/>
  <c r="O115" i="1"/>
  <c r="P115" i="1"/>
  <c r="R116" i="1"/>
  <c r="E116" i="1"/>
  <c r="AA116" i="1"/>
  <c r="F116" i="1"/>
  <c r="G116" i="1"/>
  <c r="H116" i="1"/>
  <c r="I116" i="1"/>
  <c r="J116" i="1"/>
  <c r="K116" i="1"/>
  <c r="L116" i="1"/>
  <c r="M116" i="1"/>
  <c r="N116" i="1"/>
  <c r="O116" i="1"/>
  <c r="P116" i="1"/>
  <c r="R117" i="1"/>
  <c r="E117" i="1"/>
  <c r="AA117" i="1"/>
  <c r="F117" i="1"/>
  <c r="G117" i="1"/>
  <c r="H117" i="1"/>
  <c r="I117" i="1"/>
  <c r="J117" i="1"/>
  <c r="K117" i="1"/>
  <c r="L117" i="1"/>
  <c r="M117" i="1"/>
  <c r="N117" i="1"/>
  <c r="O117" i="1"/>
  <c r="P117" i="1"/>
  <c r="R118" i="1"/>
  <c r="E118" i="1"/>
  <c r="AA118" i="1"/>
  <c r="F118" i="1"/>
  <c r="G118" i="1"/>
  <c r="H118" i="1"/>
  <c r="I118" i="1"/>
  <c r="J118" i="1"/>
  <c r="K118" i="1"/>
  <c r="L118" i="1"/>
  <c r="M118" i="1"/>
  <c r="N118" i="1"/>
  <c r="O118" i="1"/>
  <c r="P118" i="1"/>
  <c r="R119" i="1"/>
  <c r="E119" i="1"/>
  <c r="AA119" i="1"/>
  <c r="F119" i="1"/>
  <c r="G119" i="1"/>
  <c r="H119" i="1"/>
  <c r="I119" i="1"/>
  <c r="J119" i="1"/>
  <c r="K119" i="1"/>
  <c r="L119" i="1"/>
  <c r="M119" i="1"/>
  <c r="N119" i="1"/>
  <c r="O119" i="1"/>
  <c r="P119" i="1"/>
  <c r="R120" i="1"/>
  <c r="E120" i="1"/>
  <c r="AA120" i="1"/>
  <c r="F120" i="1"/>
  <c r="G120" i="1"/>
  <c r="H120" i="1"/>
  <c r="I120" i="1"/>
  <c r="J120" i="1"/>
  <c r="K120" i="1"/>
  <c r="L120" i="1"/>
  <c r="M120" i="1"/>
  <c r="N120" i="1"/>
  <c r="O120" i="1"/>
  <c r="P120" i="1"/>
  <c r="R121" i="1"/>
  <c r="E121" i="1"/>
  <c r="AA121" i="1"/>
  <c r="F121" i="1"/>
  <c r="G121" i="1"/>
  <c r="H121" i="1"/>
  <c r="I121" i="1"/>
  <c r="J121" i="1"/>
  <c r="K121" i="1"/>
  <c r="L121" i="1"/>
  <c r="M121" i="1"/>
  <c r="N121" i="1"/>
  <c r="O121" i="1"/>
  <c r="P121" i="1"/>
  <c r="R123" i="1"/>
  <c r="E123" i="1"/>
  <c r="AA123" i="1"/>
  <c r="F123" i="1"/>
  <c r="G123" i="1"/>
  <c r="H123" i="1"/>
  <c r="I123" i="1"/>
  <c r="J123" i="1"/>
  <c r="K123" i="1"/>
  <c r="L123" i="1"/>
  <c r="M123" i="1"/>
  <c r="N123" i="1"/>
  <c r="O123" i="1"/>
  <c r="P123" i="1"/>
  <c r="R125" i="1"/>
  <c r="E125" i="1"/>
  <c r="AA125" i="1"/>
  <c r="F125" i="1"/>
  <c r="G125" i="1"/>
  <c r="H125" i="1"/>
  <c r="I125" i="1"/>
  <c r="J125" i="1"/>
  <c r="K125" i="1"/>
  <c r="L125" i="1"/>
  <c r="M125" i="1"/>
  <c r="N125" i="1"/>
  <c r="O125" i="1"/>
  <c r="P125" i="1"/>
  <c r="R128" i="1"/>
  <c r="E128" i="1"/>
  <c r="AA128" i="1"/>
  <c r="F128" i="1"/>
  <c r="G128" i="1"/>
  <c r="H128" i="1"/>
  <c r="I128" i="1"/>
  <c r="J128" i="1"/>
  <c r="K128" i="1"/>
  <c r="L128" i="1"/>
  <c r="M128" i="1"/>
  <c r="N128" i="1"/>
  <c r="O128" i="1"/>
  <c r="P128" i="1"/>
  <c r="R59" i="1"/>
  <c r="E59" i="1"/>
  <c r="AA59" i="1"/>
  <c r="F59" i="1"/>
  <c r="G59" i="1"/>
  <c r="H59" i="1"/>
  <c r="I59" i="1"/>
  <c r="J59" i="1"/>
  <c r="K59" i="1"/>
  <c r="L59" i="1"/>
  <c r="M59" i="1"/>
  <c r="N59" i="1"/>
  <c r="O59" i="1"/>
  <c r="P59" i="1"/>
  <c r="R60" i="1"/>
  <c r="E60" i="1"/>
  <c r="AA60" i="1"/>
  <c r="F60" i="1"/>
  <c r="G60" i="1"/>
  <c r="H60" i="1"/>
  <c r="I60" i="1"/>
  <c r="J60" i="1"/>
  <c r="K60" i="1"/>
  <c r="L60" i="1"/>
  <c r="M60" i="1"/>
  <c r="N60" i="1"/>
  <c r="O60" i="1"/>
  <c r="P60" i="1"/>
  <c r="R62" i="1"/>
  <c r="E62" i="1"/>
  <c r="AA62" i="1"/>
  <c r="F62" i="1"/>
  <c r="G62" i="1"/>
  <c r="H62" i="1"/>
  <c r="I62" i="1"/>
  <c r="J62" i="1"/>
  <c r="K62" i="1"/>
  <c r="L62" i="1"/>
  <c r="M62" i="1"/>
  <c r="N62" i="1"/>
  <c r="O62" i="1"/>
  <c r="P62" i="1"/>
  <c r="R63" i="1"/>
  <c r="E63" i="1"/>
  <c r="AA63" i="1"/>
  <c r="F63" i="1"/>
  <c r="G63" i="1"/>
  <c r="H63" i="1"/>
  <c r="I63" i="1"/>
  <c r="J63" i="1"/>
  <c r="K63" i="1"/>
  <c r="L63" i="1"/>
  <c r="M63" i="1"/>
  <c r="N63" i="1"/>
  <c r="O63" i="1"/>
  <c r="P63" i="1"/>
  <c r="R65" i="1"/>
  <c r="E65" i="1"/>
  <c r="AA65" i="1"/>
  <c r="F65" i="1"/>
  <c r="G65" i="1"/>
  <c r="H65" i="1"/>
  <c r="I65" i="1"/>
  <c r="J65" i="1"/>
  <c r="K65" i="1"/>
  <c r="L65" i="1"/>
  <c r="M65" i="1"/>
  <c r="N65" i="1"/>
  <c r="O65" i="1"/>
  <c r="P65" i="1"/>
  <c r="R67" i="1"/>
  <c r="E67" i="1"/>
  <c r="AA67" i="1"/>
  <c r="F67" i="1"/>
  <c r="G67" i="1"/>
  <c r="H67" i="1"/>
  <c r="I67" i="1"/>
  <c r="J67" i="1"/>
  <c r="K67" i="1"/>
  <c r="L67" i="1"/>
  <c r="M67" i="1"/>
  <c r="N67" i="1"/>
  <c r="O67" i="1"/>
  <c r="P67" i="1"/>
  <c r="R68" i="1"/>
  <c r="E68" i="1"/>
  <c r="AA68" i="1"/>
  <c r="F68" i="1"/>
  <c r="G68" i="1"/>
  <c r="H68" i="1"/>
  <c r="I68" i="1"/>
  <c r="J68" i="1"/>
  <c r="K68" i="1"/>
  <c r="L68" i="1"/>
  <c r="M68" i="1"/>
  <c r="N68" i="1"/>
  <c r="O68" i="1"/>
  <c r="P68" i="1"/>
  <c r="R69" i="1"/>
  <c r="E69" i="1"/>
  <c r="AA69" i="1"/>
  <c r="F69" i="1"/>
  <c r="G69" i="1"/>
  <c r="H69" i="1"/>
  <c r="I69" i="1"/>
  <c r="J69" i="1"/>
  <c r="K69" i="1"/>
  <c r="L69" i="1"/>
  <c r="M69" i="1"/>
  <c r="N69" i="1"/>
  <c r="O69" i="1"/>
  <c r="P69" i="1"/>
  <c r="R71" i="1"/>
  <c r="E71" i="1"/>
  <c r="AA71" i="1"/>
  <c r="F71" i="1"/>
  <c r="G71" i="1"/>
  <c r="H71" i="1"/>
  <c r="I71" i="1"/>
  <c r="J71" i="1"/>
  <c r="K71" i="1"/>
  <c r="L71" i="1"/>
  <c r="M71" i="1"/>
  <c r="N71" i="1"/>
  <c r="O71" i="1"/>
  <c r="P71" i="1"/>
  <c r="R72" i="1"/>
  <c r="E72" i="1"/>
  <c r="AA72" i="1"/>
  <c r="F72" i="1"/>
  <c r="G72" i="1"/>
  <c r="H72" i="1"/>
  <c r="I72" i="1"/>
  <c r="J72" i="1"/>
  <c r="K72" i="1"/>
  <c r="L72" i="1"/>
  <c r="M72" i="1"/>
  <c r="N72" i="1"/>
  <c r="O72" i="1"/>
  <c r="P72" i="1"/>
  <c r="R73" i="1"/>
  <c r="E73" i="1"/>
  <c r="AA73" i="1"/>
  <c r="F73" i="1"/>
  <c r="G73" i="1"/>
  <c r="H73" i="1"/>
  <c r="I73" i="1"/>
  <c r="J73" i="1"/>
  <c r="K73" i="1"/>
  <c r="L73" i="1"/>
  <c r="M73" i="1"/>
  <c r="N73" i="1"/>
  <c r="O73" i="1"/>
  <c r="P73" i="1"/>
  <c r="R76" i="1"/>
  <c r="E76" i="1"/>
  <c r="AA76" i="1"/>
  <c r="F76" i="1"/>
  <c r="G76" i="1"/>
  <c r="H76" i="1"/>
  <c r="I76" i="1"/>
  <c r="J76" i="1"/>
  <c r="K76" i="1"/>
  <c r="L76" i="1"/>
  <c r="M76" i="1"/>
  <c r="N76" i="1"/>
  <c r="O76" i="1"/>
  <c r="P76" i="1"/>
  <c r="R77" i="1"/>
  <c r="E77" i="1"/>
  <c r="AA77" i="1"/>
  <c r="F77" i="1"/>
  <c r="G77" i="1"/>
  <c r="H77" i="1"/>
  <c r="I77" i="1"/>
  <c r="J77" i="1"/>
  <c r="K77" i="1"/>
  <c r="L77" i="1"/>
  <c r="M77" i="1"/>
  <c r="N77" i="1"/>
  <c r="O77" i="1"/>
  <c r="P77" i="1"/>
  <c r="R78" i="1"/>
  <c r="E78" i="1"/>
  <c r="AA78" i="1"/>
  <c r="F78" i="1"/>
  <c r="G78" i="1"/>
  <c r="H78" i="1"/>
  <c r="I78" i="1"/>
  <c r="J78" i="1"/>
  <c r="K78" i="1"/>
  <c r="L78" i="1"/>
  <c r="M78" i="1"/>
  <c r="N78" i="1"/>
  <c r="O78" i="1"/>
  <c r="P78" i="1"/>
  <c r="R79" i="1"/>
  <c r="E79" i="1"/>
  <c r="AA79" i="1"/>
  <c r="F79" i="1"/>
  <c r="G79" i="1"/>
  <c r="H79" i="1"/>
  <c r="I79" i="1"/>
  <c r="J79" i="1"/>
  <c r="K79" i="1"/>
  <c r="L79" i="1"/>
  <c r="M79" i="1"/>
  <c r="N79" i="1"/>
  <c r="O79" i="1"/>
  <c r="P79" i="1"/>
  <c r="R80" i="1"/>
  <c r="E80" i="1"/>
  <c r="AA80" i="1"/>
  <c r="F80" i="1"/>
  <c r="G80" i="1"/>
  <c r="H80" i="1"/>
  <c r="I80" i="1"/>
  <c r="J80" i="1"/>
  <c r="K80" i="1"/>
  <c r="L80" i="1"/>
  <c r="M80" i="1"/>
  <c r="N80" i="1"/>
  <c r="O80" i="1"/>
  <c r="P80" i="1"/>
  <c r="R81" i="1"/>
  <c r="E81" i="1"/>
  <c r="AA81" i="1"/>
  <c r="F81" i="1"/>
  <c r="G81" i="1"/>
  <c r="H81" i="1"/>
  <c r="I81" i="1"/>
  <c r="J81" i="1"/>
  <c r="K81" i="1"/>
  <c r="L81" i="1"/>
  <c r="M81" i="1"/>
  <c r="N81" i="1"/>
  <c r="O81" i="1"/>
  <c r="P81" i="1"/>
  <c r="R82" i="1"/>
  <c r="E82" i="1"/>
  <c r="AA82" i="1"/>
  <c r="F82" i="1"/>
  <c r="G82" i="1"/>
  <c r="H82" i="1"/>
  <c r="I82" i="1"/>
  <c r="J82" i="1"/>
  <c r="K82" i="1"/>
  <c r="L82" i="1"/>
  <c r="M82" i="1"/>
  <c r="N82" i="1"/>
  <c r="O82" i="1"/>
  <c r="P82" i="1"/>
  <c r="R83" i="1"/>
  <c r="E83" i="1"/>
  <c r="AA83" i="1"/>
  <c r="F83" i="1"/>
  <c r="G83" i="1"/>
  <c r="H83" i="1"/>
  <c r="I83" i="1"/>
  <c r="J83" i="1"/>
  <c r="K83" i="1"/>
  <c r="L83" i="1"/>
  <c r="M83" i="1"/>
  <c r="N83" i="1"/>
  <c r="O83" i="1"/>
  <c r="P83" i="1"/>
  <c r="R84" i="1"/>
  <c r="E84" i="1"/>
  <c r="AA84" i="1"/>
  <c r="F84" i="1"/>
  <c r="G84" i="1"/>
  <c r="H84" i="1"/>
  <c r="I84" i="1"/>
  <c r="J84" i="1"/>
  <c r="K84" i="1"/>
  <c r="L84" i="1"/>
  <c r="M84" i="1"/>
  <c r="N84" i="1"/>
  <c r="O84" i="1"/>
  <c r="P84" i="1"/>
  <c r="R87" i="1"/>
  <c r="E87" i="1"/>
  <c r="AA87" i="1"/>
  <c r="F87" i="1"/>
  <c r="G87" i="1"/>
  <c r="H87" i="1"/>
  <c r="I87" i="1"/>
  <c r="J87" i="1"/>
  <c r="K87" i="1"/>
  <c r="L87" i="1"/>
  <c r="M87" i="1"/>
  <c r="N87" i="1"/>
  <c r="O87" i="1"/>
  <c r="P87" i="1"/>
  <c r="R88" i="1"/>
  <c r="E88" i="1"/>
  <c r="AA88" i="1"/>
  <c r="F88" i="1"/>
  <c r="G88" i="1"/>
  <c r="H88" i="1"/>
  <c r="I88" i="1"/>
  <c r="J88" i="1"/>
  <c r="K88" i="1"/>
  <c r="L88" i="1"/>
  <c r="M88" i="1"/>
  <c r="N88" i="1"/>
  <c r="O88" i="1"/>
  <c r="P88" i="1"/>
  <c r="R89" i="1"/>
  <c r="E89" i="1"/>
  <c r="AA89" i="1"/>
  <c r="F89" i="1"/>
  <c r="G89" i="1"/>
  <c r="H89" i="1"/>
  <c r="I89" i="1"/>
  <c r="J89" i="1"/>
  <c r="K89" i="1"/>
  <c r="L89" i="1"/>
  <c r="M89" i="1"/>
  <c r="N89" i="1"/>
  <c r="O89" i="1"/>
  <c r="P89" i="1"/>
  <c r="R90" i="1"/>
  <c r="E90" i="1"/>
  <c r="AA90" i="1"/>
  <c r="F90" i="1"/>
  <c r="G90" i="1"/>
  <c r="H90" i="1"/>
  <c r="I90" i="1"/>
  <c r="J90" i="1"/>
  <c r="K90" i="1"/>
  <c r="L90" i="1"/>
  <c r="M90" i="1"/>
  <c r="N90" i="1"/>
  <c r="O90" i="1"/>
  <c r="P90" i="1"/>
  <c r="R93" i="1"/>
  <c r="E93" i="1"/>
  <c r="AA93" i="1"/>
  <c r="F93" i="1"/>
  <c r="G93" i="1"/>
  <c r="H93" i="1"/>
  <c r="I93" i="1"/>
  <c r="J93" i="1"/>
  <c r="K93" i="1"/>
  <c r="L93" i="1"/>
  <c r="M93" i="1"/>
  <c r="N93" i="1"/>
  <c r="O93" i="1"/>
  <c r="P93" i="1"/>
  <c r="R94" i="1"/>
  <c r="E94" i="1"/>
  <c r="AA94" i="1"/>
  <c r="F94" i="1"/>
  <c r="G94" i="1"/>
  <c r="H94" i="1"/>
  <c r="I94" i="1"/>
  <c r="J94" i="1"/>
  <c r="K94" i="1"/>
  <c r="L94" i="1"/>
  <c r="M94" i="1"/>
  <c r="N94" i="1"/>
  <c r="O94" i="1"/>
  <c r="P94" i="1"/>
  <c r="R95" i="1"/>
  <c r="E95" i="1"/>
  <c r="AA95" i="1"/>
  <c r="F95" i="1"/>
  <c r="G95" i="1"/>
  <c r="H95" i="1"/>
  <c r="I95" i="1"/>
  <c r="J95" i="1"/>
  <c r="K95" i="1"/>
  <c r="L95" i="1"/>
  <c r="M95" i="1"/>
  <c r="N95" i="1"/>
  <c r="O95" i="1"/>
  <c r="P95" i="1"/>
  <c r="R97" i="1"/>
  <c r="E97" i="1"/>
  <c r="AA97" i="1"/>
  <c r="F97" i="1"/>
  <c r="G97" i="1"/>
  <c r="H97" i="1"/>
  <c r="I97" i="1"/>
  <c r="J97" i="1"/>
  <c r="K97" i="1"/>
  <c r="L97" i="1"/>
  <c r="M97" i="1"/>
  <c r="N97" i="1"/>
  <c r="O97" i="1"/>
  <c r="P97" i="1"/>
  <c r="R98" i="1"/>
  <c r="E98" i="1"/>
  <c r="AA98" i="1"/>
  <c r="F98" i="1"/>
  <c r="G98" i="1"/>
  <c r="H98" i="1"/>
  <c r="I98" i="1"/>
  <c r="J98" i="1"/>
  <c r="K98" i="1"/>
  <c r="L98" i="1"/>
  <c r="M98" i="1"/>
  <c r="N98" i="1"/>
  <c r="O98" i="1"/>
  <c r="P98" i="1"/>
  <c r="R99" i="1"/>
  <c r="E99" i="1"/>
  <c r="AA99" i="1"/>
  <c r="F99" i="1"/>
  <c r="G99" i="1"/>
  <c r="H99" i="1"/>
  <c r="I99" i="1"/>
  <c r="J99" i="1"/>
  <c r="K99" i="1"/>
  <c r="L99" i="1"/>
  <c r="M99" i="1"/>
  <c r="N99" i="1"/>
  <c r="O99" i="1"/>
  <c r="P99" i="1"/>
  <c r="R100" i="1"/>
  <c r="E100" i="1"/>
  <c r="AA100" i="1"/>
  <c r="F100" i="1"/>
  <c r="G100" i="1"/>
  <c r="H100" i="1"/>
  <c r="I100" i="1"/>
  <c r="J100" i="1"/>
  <c r="K100" i="1"/>
  <c r="L100" i="1"/>
  <c r="M100" i="1"/>
  <c r="N100" i="1"/>
  <c r="O100" i="1"/>
  <c r="P100" i="1"/>
  <c r="R102" i="1"/>
  <c r="E102" i="1"/>
  <c r="AA102" i="1"/>
  <c r="F102" i="1"/>
  <c r="G102" i="1"/>
  <c r="H102" i="1"/>
  <c r="I102" i="1"/>
  <c r="J102" i="1"/>
  <c r="K102" i="1"/>
  <c r="L102" i="1"/>
  <c r="M102" i="1"/>
  <c r="N102" i="1"/>
  <c r="O102" i="1"/>
  <c r="P102" i="1"/>
  <c r="O9" i="1"/>
  <c r="P9" i="1"/>
  <c r="R3" i="1"/>
  <c r="E3" i="1"/>
  <c r="AA3" i="1"/>
  <c r="F3" i="1"/>
  <c r="G3" i="1"/>
  <c r="H3" i="1"/>
  <c r="I3" i="1"/>
  <c r="J3" i="1"/>
  <c r="K3" i="1"/>
  <c r="L3" i="1"/>
  <c r="M3" i="1"/>
  <c r="N3" i="1"/>
  <c r="O3" i="1"/>
  <c r="P3" i="1"/>
  <c r="R4" i="1"/>
  <c r="E4" i="1"/>
  <c r="AA4" i="1"/>
  <c r="F4" i="1"/>
  <c r="G4" i="1"/>
  <c r="H4" i="1"/>
  <c r="I4" i="1"/>
  <c r="J4" i="1"/>
  <c r="K4" i="1"/>
  <c r="L4" i="1"/>
  <c r="M4" i="1"/>
  <c r="N4" i="1"/>
  <c r="O4" i="1"/>
  <c r="P4" i="1"/>
  <c r="R5" i="1"/>
  <c r="E5" i="1"/>
  <c r="AA5" i="1"/>
  <c r="F5" i="1"/>
  <c r="G5" i="1"/>
  <c r="H5" i="1"/>
  <c r="I5" i="1"/>
  <c r="J5" i="1"/>
  <c r="K5" i="1"/>
  <c r="L5" i="1"/>
  <c r="M5" i="1"/>
  <c r="N5" i="1"/>
  <c r="O5" i="1"/>
  <c r="P5" i="1"/>
  <c r="R6" i="1"/>
  <c r="E6" i="1"/>
  <c r="AA6" i="1"/>
  <c r="F6" i="1"/>
  <c r="G6" i="1"/>
  <c r="H6" i="1"/>
  <c r="I6" i="1"/>
  <c r="J6" i="1"/>
  <c r="K6" i="1"/>
  <c r="L6" i="1"/>
  <c r="M6" i="1"/>
  <c r="N6" i="1"/>
  <c r="O6" i="1"/>
  <c r="P6" i="1"/>
  <c r="R7" i="1"/>
  <c r="E7" i="1"/>
  <c r="AA7" i="1"/>
  <c r="F7" i="1"/>
  <c r="G7" i="1"/>
  <c r="H7" i="1"/>
  <c r="I7" i="1"/>
  <c r="J7" i="1"/>
  <c r="K7" i="1"/>
  <c r="L7" i="1"/>
  <c r="M7" i="1"/>
  <c r="N7" i="1"/>
  <c r="O7" i="1"/>
  <c r="P7" i="1"/>
  <c r="R8" i="1"/>
  <c r="E8" i="1"/>
  <c r="AA8" i="1"/>
  <c r="F8" i="1"/>
  <c r="G8" i="1"/>
  <c r="H8" i="1"/>
  <c r="I8" i="1"/>
  <c r="J8" i="1"/>
  <c r="K8" i="1"/>
  <c r="L8" i="1"/>
  <c r="M8" i="1"/>
  <c r="N8" i="1"/>
  <c r="O8" i="1"/>
  <c r="P8" i="1"/>
  <c r="R10" i="1"/>
  <c r="E10" i="1"/>
  <c r="AA10" i="1"/>
  <c r="F10" i="1"/>
  <c r="G10" i="1"/>
  <c r="H10" i="1"/>
  <c r="I10" i="1"/>
  <c r="J10" i="1"/>
  <c r="K10" i="1"/>
  <c r="L10" i="1"/>
  <c r="M10" i="1"/>
  <c r="N10" i="1"/>
  <c r="O10" i="1"/>
  <c r="P10" i="1"/>
  <c r="R11" i="1"/>
  <c r="E11" i="1"/>
  <c r="AA11" i="1"/>
  <c r="F11" i="1"/>
  <c r="G11" i="1"/>
  <c r="H11" i="1"/>
  <c r="I11" i="1"/>
  <c r="J11" i="1"/>
  <c r="K11" i="1"/>
  <c r="L11" i="1"/>
  <c r="M11" i="1"/>
  <c r="N11" i="1"/>
  <c r="O11" i="1"/>
  <c r="P11" i="1"/>
  <c r="R12" i="1"/>
  <c r="E12" i="1"/>
  <c r="AA12" i="1"/>
  <c r="F12" i="1"/>
  <c r="G12" i="1"/>
  <c r="H12" i="1"/>
  <c r="I12" i="1"/>
  <c r="J12" i="1"/>
  <c r="K12" i="1"/>
  <c r="L12" i="1"/>
  <c r="M12" i="1"/>
  <c r="N12" i="1"/>
  <c r="O12" i="1"/>
  <c r="P12" i="1"/>
  <c r="R13" i="1"/>
  <c r="E13" i="1"/>
  <c r="AA13" i="1"/>
  <c r="F13" i="1"/>
  <c r="G13" i="1"/>
  <c r="H13" i="1"/>
  <c r="I13" i="1"/>
  <c r="J13" i="1"/>
  <c r="K13" i="1"/>
  <c r="L13" i="1"/>
  <c r="M13" i="1"/>
  <c r="N13" i="1"/>
  <c r="O13" i="1"/>
  <c r="P13" i="1"/>
  <c r="R14" i="1"/>
  <c r="E14" i="1"/>
  <c r="AA14" i="1"/>
  <c r="F14" i="1"/>
  <c r="G14" i="1"/>
  <c r="H14" i="1"/>
  <c r="I14" i="1"/>
  <c r="J14" i="1"/>
  <c r="K14" i="1"/>
  <c r="L14" i="1"/>
  <c r="M14" i="1"/>
  <c r="N14" i="1"/>
  <c r="O14" i="1"/>
  <c r="P14" i="1"/>
  <c r="R15" i="1"/>
  <c r="E15" i="1"/>
  <c r="AA15" i="1"/>
  <c r="F15" i="1"/>
  <c r="G15" i="1"/>
  <c r="H15" i="1"/>
  <c r="I15" i="1"/>
  <c r="J15" i="1"/>
  <c r="K15" i="1"/>
  <c r="L15" i="1"/>
  <c r="M15" i="1"/>
  <c r="N15" i="1"/>
  <c r="O15" i="1"/>
  <c r="P15" i="1"/>
  <c r="R16" i="1"/>
  <c r="E16" i="1"/>
  <c r="AA16" i="1"/>
  <c r="F16" i="1"/>
  <c r="G16" i="1"/>
  <c r="H16" i="1"/>
  <c r="I16" i="1"/>
  <c r="J16" i="1"/>
  <c r="K16" i="1"/>
  <c r="L16" i="1"/>
  <c r="M16" i="1"/>
  <c r="N16" i="1"/>
  <c r="O16" i="1"/>
  <c r="P16" i="1"/>
  <c r="R17" i="1"/>
  <c r="E17" i="1"/>
  <c r="AA17" i="1"/>
  <c r="F17" i="1"/>
  <c r="G17" i="1"/>
  <c r="H17" i="1"/>
  <c r="I17" i="1"/>
  <c r="J17" i="1"/>
  <c r="K17" i="1"/>
  <c r="L17" i="1"/>
  <c r="M17" i="1"/>
  <c r="N17" i="1"/>
  <c r="O17" i="1"/>
  <c r="P17" i="1"/>
  <c r="R18" i="1"/>
  <c r="E18" i="1"/>
  <c r="AA18" i="1"/>
  <c r="F18" i="1"/>
  <c r="G18" i="1"/>
  <c r="H18" i="1"/>
  <c r="I18" i="1"/>
  <c r="J18" i="1"/>
  <c r="K18" i="1"/>
  <c r="L18" i="1"/>
  <c r="M18" i="1"/>
  <c r="N18" i="1"/>
  <c r="O18" i="1"/>
  <c r="P18" i="1"/>
  <c r="R20" i="1"/>
  <c r="E20" i="1"/>
  <c r="AA20" i="1"/>
  <c r="F20" i="1"/>
  <c r="G20" i="1"/>
  <c r="H20" i="1"/>
  <c r="I20" i="1"/>
  <c r="J20" i="1"/>
  <c r="K20" i="1"/>
  <c r="L20" i="1"/>
  <c r="M20" i="1"/>
  <c r="N20" i="1"/>
  <c r="O20" i="1"/>
  <c r="P20" i="1"/>
  <c r="R21" i="1"/>
  <c r="E21" i="1"/>
  <c r="AA21" i="1"/>
  <c r="F21" i="1"/>
  <c r="G21" i="1"/>
  <c r="H21" i="1"/>
  <c r="I21" i="1"/>
  <c r="J21" i="1"/>
  <c r="K21" i="1"/>
  <c r="L21" i="1"/>
  <c r="M21" i="1"/>
  <c r="N21" i="1"/>
  <c r="O21" i="1"/>
  <c r="P21" i="1"/>
  <c r="R22" i="1"/>
  <c r="E22" i="1"/>
  <c r="AA22" i="1"/>
  <c r="F22" i="1"/>
  <c r="G22" i="1"/>
  <c r="H22" i="1"/>
  <c r="I22" i="1"/>
  <c r="J22" i="1"/>
  <c r="K22" i="1"/>
  <c r="L22" i="1"/>
  <c r="M22" i="1"/>
  <c r="N22" i="1"/>
  <c r="O22" i="1"/>
  <c r="P22" i="1"/>
  <c r="R23" i="1"/>
  <c r="E23" i="1"/>
  <c r="AA23" i="1"/>
  <c r="F23" i="1"/>
  <c r="G23" i="1"/>
  <c r="H23" i="1"/>
  <c r="I23" i="1"/>
  <c r="J23" i="1"/>
  <c r="K23" i="1"/>
  <c r="L23" i="1"/>
  <c r="M23" i="1"/>
  <c r="N23" i="1"/>
  <c r="O23" i="1"/>
  <c r="P23" i="1"/>
  <c r="R24" i="1"/>
  <c r="E24" i="1"/>
  <c r="AA24" i="1"/>
  <c r="F24" i="1"/>
  <c r="G24" i="1"/>
  <c r="H24" i="1"/>
  <c r="I24" i="1"/>
  <c r="J24" i="1"/>
  <c r="K24" i="1"/>
  <c r="L24" i="1"/>
  <c r="M24" i="1"/>
  <c r="N24" i="1"/>
  <c r="O24" i="1"/>
  <c r="P24" i="1"/>
  <c r="R25" i="1"/>
  <c r="E25" i="1"/>
  <c r="AA25" i="1"/>
  <c r="F25" i="1"/>
  <c r="G25" i="1"/>
  <c r="H25" i="1"/>
  <c r="I25" i="1"/>
  <c r="J25" i="1"/>
  <c r="K25" i="1"/>
  <c r="L25" i="1"/>
  <c r="M25" i="1"/>
  <c r="N25" i="1"/>
  <c r="O25" i="1"/>
  <c r="P25" i="1"/>
  <c r="R26" i="1"/>
  <c r="E26" i="1"/>
  <c r="AA26" i="1"/>
  <c r="F26" i="1"/>
  <c r="G26" i="1"/>
  <c r="H26" i="1"/>
  <c r="I26" i="1"/>
  <c r="J26" i="1"/>
  <c r="K26" i="1"/>
  <c r="L26" i="1"/>
  <c r="M26" i="1"/>
  <c r="N26" i="1"/>
  <c r="O26" i="1"/>
  <c r="P26" i="1"/>
  <c r="R27" i="1"/>
  <c r="E27" i="1"/>
  <c r="AA27" i="1"/>
  <c r="F27" i="1"/>
  <c r="G27" i="1"/>
  <c r="H27" i="1"/>
  <c r="I27" i="1"/>
  <c r="J27" i="1"/>
  <c r="K27" i="1"/>
  <c r="L27" i="1"/>
  <c r="M27" i="1"/>
  <c r="N27" i="1"/>
  <c r="O27" i="1"/>
  <c r="P27" i="1"/>
  <c r="R28" i="1"/>
  <c r="E28" i="1"/>
  <c r="AA28" i="1"/>
  <c r="F28" i="1"/>
  <c r="G28" i="1"/>
  <c r="H28" i="1"/>
  <c r="I28" i="1"/>
  <c r="J28" i="1"/>
  <c r="K28" i="1"/>
  <c r="L28" i="1"/>
  <c r="M28" i="1"/>
  <c r="N28" i="1"/>
  <c r="O28" i="1"/>
  <c r="P28" i="1"/>
  <c r="R29" i="1"/>
  <c r="E29" i="1"/>
  <c r="AA29" i="1"/>
  <c r="F29" i="1"/>
  <c r="G29" i="1"/>
  <c r="H29" i="1"/>
  <c r="I29" i="1"/>
  <c r="J29" i="1"/>
  <c r="K29" i="1"/>
  <c r="L29" i="1"/>
  <c r="M29" i="1"/>
  <c r="N29" i="1"/>
  <c r="O29" i="1"/>
  <c r="P29" i="1"/>
  <c r="R30" i="1"/>
  <c r="E30" i="1"/>
  <c r="AA30" i="1"/>
  <c r="F30" i="1"/>
  <c r="G30" i="1"/>
  <c r="H30" i="1"/>
  <c r="I30" i="1"/>
  <c r="J30" i="1"/>
  <c r="K30" i="1"/>
  <c r="L30" i="1"/>
  <c r="M30" i="1"/>
  <c r="N30" i="1"/>
  <c r="O30" i="1"/>
  <c r="P30" i="1"/>
  <c r="R31" i="1"/>
  <c r="E31" i="1"/>
  <c r="AA31" i="1"/>
  <c r="F31" i="1"/>
  <c r="G31" i="1"/>
  <c r="H31" i="1"/>
  <c r="I31" i="1"/>
  <c r="J31" i="1"/>
  <c r="K31" i="1"/>
  <c r="L31" i="1"/>
  <c r="M31" i="1"/>
  <c r="N31" i="1"/>
  <c r="O31" i="1"/>
  <c r="P31" i="1"/>
  <c r="R32" i="1"/>
  <c r="E32" i="1"/>
  <c r="AA32" i="1"/>
  <c r="F32" i="1"/>
  <c r="G32" i="1"/>
  <c r="H32" i="1"/>
  <c r="I32" i="1"/>
  <c r="J32" i="1"/>
  <c r="K32" i="1"/>
  <c r="L32" i="1"/>
  <c r="M32" i="1"/>
  <c r="N32" i="1"/>
  <c r="O32" i="1"/>
  <c r="P32" i="1"/>
  <c r="R33" i="1"/>
  <c r="E33" i="1"/>
  <c r="AA33" i="1"/>
  <c r="F33" i="1"/>
  <c r="G33" i="1"/>
  <c r="H33" i="1"/>
  <c r="I33" i="1"/>
  <c r="J33" i="1"/>
  <c r="K33" i="1"/>
  <c r="L33" i="1"/>
  <c r="M33" i="1"/>
  <c r="N33" i="1"/>
  <c r="O33" i="1"/>
  <c r="P33" i="1"/>
  <c r="R34" i="1"/>
  <c r="E34" i="1"/>
  <c r="AA34" i="1"/>
  <c r="F34" i="1"/>
  <c r="G34" i="1"/>
  <c r="H34" i="1"/>
  <c r="I34" i="1"/>
  <c r="J34" i="1"/>
  <c r="K34" i="1"/>
  <c r="L34" i="1"/>
  <c r="M34" i="1"/>
  <c r="N34" i="1"/>
  <c r="O34" i="1"/>
  <c r="P34" i="1"/>
  <c r="R35" i="1"/>
  <c r="E35" i="1"/>
  <c r="AA35" i="1"/>
  <c r="F35" i="1"/>
  <c r="G35" i="1"/>
  <c r="H35" i="1"/>
  <c r="I35" i="1"/>
  <c r="J35" i="1"/>
  <c r="K35" i="1"/>
  <c r="L35" i="1"/>
  <c r="M35" i="1"/>
  <c r="N35" i="1"/>
  <c r="O35" i="1"/>
  <c r="P35" i="1"/>
  <c r="R36" i="1"/>
  <c r="E36" i="1"/>
  <c r="AA36" i="1"/>
  <c r="F36" i="1"/>
  <c r="G36" i="1"/>
  <c r="H36" i="1"/>
  <c r="I36" i="1"/>
  <c r="J36" i="1"/>
  <c r="K36" i="1"/>
  <c r="L36" i="1"/>
  <c r="M36" i="1"/>
  <c r="N36" i="1"/>
  <c r="O36" i="1"/>
  <c r="P36" i="1"/>
  <c r="R37" i="1"/>
  <c r="E37" i="1"/>
  <c r="AA37" i="1"/>
  <c r="F37" i="1"/>
  <c r="G37" i="1"/>
  <c r="H37" i="1"/>
  <c r="I37" i="1"/>
  <c r="J37" i="1"/>
  <c r="K37" i="1"/>
  <c r="L37" i="1"/>
  <c r="M37" i="1"/>
  <c r="N37" i="1"/>
  <c r="O37" i="1"/>
  <c r="P37" i="1"/>
  <c r="R38" i="1"/>
  <c r="E38" i="1"/>
  <c r="AA38" i="1"/>
  <c r="F38" i="1"/>
  <c r="G38" i="1"/>
  <c r="H38" i="1"/>
  <c r="I38" i="1"/>
  <c r="J38" i="1"/>
  <c r="K38" i="1"/>
  <c r="L38" i="1"/>
  <c r="M38" i="1"/>
  <c r="N38" i="1"/>
  <c r="O38" i="1"/>
  <c r="P38" i="1"/>
  <c r="R39" i="1"/>
  <c r="E39" i="1"/>
  <c r="AA39" i="1"/>
  <c r="F39" i="1"/>
  <c r="G39" i="1"/>
  <c r="H39" i="1"/>
  <c r="I39" i="1"/>
  <c r="J39" i="1"/>
  <c r="K39" i="1"/>
  <c r="L39" i="1"/>
  <c r="M39" i="1"/>
  <c r="N39" i="1"/>
  <c r="O39" i="1"/>
  <c r="P39" i="1"/>
  <c r="R40" i="1"/>
  <c r="E40" i="1"/>
  <c r="AA40" i="1"/>
  <c r="F40" i="1"/>
  <c r="G40" i="1"/>
  <c r="H40" i="1"/>
  <c r="I40" i="1"/>
  <c r="J40" i="1"/>
  <c r="K40" i="1"/>
  <c r="L40" i="1"/>
  <c r="M40" i="1"/>
  <c r="N40" i="1"/>
  <c r="O40" i="1"/>
  <c r="P40" i="1"/>
  <c r="R42" i="1"/>
  <c r="E42" i="1"/>
  <c r="AA42" i="1"/>
  <c r="F42" i="1"/>
  <c r="G42" i="1"/>
  <c r="H42" i="1"/>
  <c r="I42" i="1"/>
  <c r="J42" i="1"/>
  <c r="K42" i="1"/>
  <c r="L42" i="1"/>
  <c r="M42" i="1"/>
  <c r="N42" i="1"/>
  <c r="O42" i="1"/>
  <c r="P42" i="1"/>
  <c r="R44" i="1"/>
  <c r="E44" i="1"/>
  <c r="AA44" i="1"/>
  <c r="F44" i="1"/>
  <c r="G44" i="1"/>
  <c r="H44" i="1"/>
  <c r="I44" i="1"/>
  <c r="J44" i="1"/>
  <c r="K44" i="1"/>
  <c r="L44" i="1"/>
  <c r="M44" i="1"/>
  <c r="N44" i="1"/>
  <c r="O44" i="1"/>
  <c r="P44" i="1"/>
  <c r="R45" i="1"/>
  <c r="E45" i="1"/>
  <c r="AA45" i="1"/>
  <c r="F45" i="1"/>
  <c r="G45" i="1"/>
  <c r="H45" i="1"/>
  <c r="I45" i="1"/>
  <c r="J45" i="1"/>
  <c r="K45" i="1"/>
  <c r="L45" i="1"/>
  <c r="M45" i="1"/>
  <c r="N45" i="1"/>
  <c r="O45" i="1"/>
  <c r="P45" i="1"/>
  <c r="R47" i="1"/>
  <c r="E47" i="1"/>
  <c r="AA47" i="1"/>
  <c r="F47" i="1"/>
  <c r="G47" i="1"/>
  <c r="H47" i="1"/>
  <c r="I47" i="1"/>
  <c r="J47" i="1"/>
  <c r="K47" i="1"/>
  <c r="L47" i="1"/>
  <c r="M47" i="1"/>
  <c r="N47" i="1"/>
  <c r="O47" i="1"/>
  <c r="P47" i="1"/>
  <c r="R48" i="1"/>
  <c r="E48" i="1"/>
  <c r="AA48" i="1"/>
  <c r="F48" i="1"/>
  <c r="G48" i="1"/>
  <c r="H48" i="1"/>
  <c r="I48" i="1"/>
  <c r="J48" i="1"/>
  <c r="K48" i="1"/>
  <c r="L48" i="1"/>
  <c r="M48" i="1"/>
  <c r="N48" i="1"/>
  <c r="O48" i="1"/>
  <c r="P48" i="1"/>
  <c r="R49" i="1"/>
  <c r="E49" i="1"/>
  <c r="AA49" i="1"/>
  <c r="F49" i="1"/>
  <c r="G49" i="1"/>
  <c r="H49" i="1"/>
  <c r="I49" i="1"/>
  <c r="J49" i="1"/>
  <c r="K49" i="1"/>
  <c r="L49" i="1"/>
  <c r="M49" i="1"/>
  <c r="N49" i="1"/>
  <c r="O49" i="1"/>
  <c r="P49" i="1"/>
  <c r="R50" i="1"/>
  <c r="E50" i="1"/>
  <c r="AA50" i="1"/>
  <c r="F50" i="1"/>
  <c r="G50" i="1"/>
  <c r="H50" i="1"/>
  <c r="I50" i="1"/>
  <c r="J50" i="1"/>
  <c r="K50" i="1"/>
  <c r="L50" i="1"/>
  <c r="M50" i="1"/>
  <c r="N50" i="1"/>
  <c r="O50" i="1"/>
  <c r="P50" i="1"/>
  <c r="R51" i="1"/>
  <c r="E51" i="1"/>
  <c r="AA51" i="1"/>
  <c r="F51" i="1"/>
  <c r="G51" i="1"/>
  <c r="H51" i="1"/>
  <c r="I51" i="1"/>
  <c r="J51" i="1"/>
  <c r="K51" i="1"/>
  <c r="L51" i="1"/>
  <c r="M51" i="1"/>
  <c r="N51" i="1"/>
  <c r="O51" i="1"/>
  <c r="P51" i="1"/>
  <c r="R52" i="1"/>
  <c r="E52" i="1"/>
  <c r="AA52" i="1"/>
  <c r="F52" i="1"/>
  <c r="G52" i="1"/>
  <c r="H52" i="1"/>
  <c r="I52" i="1"/>
  <c r="J52" i="1"/>
  <c r="K52" i="1"/>
  <c r="L52" i="1"/>
  <c r="M52" i="1"/>
  <c r="N52" i="1"/>
  <c r="O52" i="1"/>
  <c r="P52" i="1"/>
  <c r="R53" i="1"/>
  <c r="E53" i="1"/>
  <c r="AA53" i="1"/>
  <c r="F53" i="1"/>
  <c r="G53" i="1"/>
  <c r="H53" i="1"/>
  <c r="I53" i="1"/>
  <c r="J53" i="1"/>
  <c r="K53" i="1"/>
  <c r="L53" i="1"/>
  <c r="M53" i="1"/>
  <c r="N53" i="1"/>
  <c r="O53" i="1"/>
  <c r="P53" i="1"/>
  <c r="R54" i="1"/>
  <c r="E54" i="1"/>
  <c r="AA54" i="1"/>
  <c r="F54" i="1"/>
  <c r="G54" i="1"/>
  <c r="H54" i="1"/>
  <c r="I54" i="1"/>
  <c r="J54" i="1"/>
  <c r="K54" i="1"/>
  <c r="L54" i="1"/>
  <c r="M54" i="1"/>
  <c r="N54" i="1"/>
  <c r="O54" i="1"/>
  <c r="P54" i="1"/>
  <c r="R55" i="1"/>
  <c r="E55" i="1"/>
  <c r="AA55" i="1"/>
  <c r="F55" i="1"/>
  <c r="G55" i="1"/>
  <c r="H55" i="1"/>
  <c r="I55" i="1"/>
  <c r="J55" i="1"/>
  <c r="K55" i="1"/>
  <c r="L55" i="1"/>
  <c r="M55" i="1"/>
  <c r="N55" i="1"/>
  <c r="O55" i="1"/>
  <c r="P55" i="1"/>
  <c r="R56" i="1"/>
  <c r="E56" i="1"/>
  <c r="AA56" i="1"/>
  <c r="F56" i="1"/>
  <c r="G56" i="1"/>
  <c r="H56" i="1"/>
  <c r="I56" i="1"/>
  <c r="J56" i="1"/>
  <c r="K56" i="1"/>
  <c r="L56" i="1"/>
  <c r="M56" i="1"/>
  <c r="N56" i="1"/>
  <c r="O56" i="1"/>
  <c r="P56" i="1"/>
  <c r="R57" i="1"/>
  <c r="E57" i="1"/>
  <c r="AA57" i="1"/>
  <c r="F57" i="1"/>
  <c r="G57" i="1"/>
  <c r="H57" i="1"/>
  <c r="I57" i="1"/>
  <c r="J57" i="1"/>
  <c r="K57" i="1"/>
  <c r="L57" i="1"/>
  <c r="M57" i="1"/>
  <c r="N57" i="1"/>
  <c r="O57" i="1"/>
  <c r="P57" i="1"/>
  <c r="R58" i="1"/>
  <c r="E58" i="1"/>
  <c r="AA58" i="1"/>
  <c r="F58" i="1"/>
  <c r="G58" i="1"/>
  <c r="H58" i="1"/>
  <c r="I58" i="1"/>
  <c r="J58" i="1"/>
  <c r="K58" i="1"/>
  <c r="L58" i="1"/>
  <c r="M58" i="1"/>
  <c r="N58" i="1"/>
  <c r="O58" i="1"/>
  <c r="P58" i="1"/>
  <c r="R2" i="1"/>
  <c r="E2" i="1"/>
  <c r="AA2" i="1"/>
  <c r="F2" i="1"/>
  <c r="G2" i="1"/>
  <c r="H2" i="1"/>
  <c r="I2" i="1"/>
  <c r="J2" i="1"/>
  <c r="K2" i="1"/>
  <c r="L2" i="1"/>
  <c r="M2" i="1"/>
  <c r="N2" i="1"/>
  <c r="O2" i="1"/>
  <c r="P2" i="1"/>
  <c r="BN186" i="1"/>
  <c r="BN185" i="1"/>
  <c r="BM185" i="1"/>
  <c r="BL185" i="1"/>
  <c r="BK185" i="1"/>
  <c r="BJ185" i="1"/>
  <c r="BI185" i="1"/>
  <c r="BH185" i="1"/>
  <c r="BG185" i="1"/>
  <c r="BF185" i="1"/>
  <c r="BE185" i="1"/>
  <c r="BD185" i="1"/>
  <c r="AZ85" i="1"/>
  <c r="AY85" i="1"/>
  <c r="AX85" i="1"/>
  <c r="AW85" i="1"/>
  <c r="AV85" i="1"/>
  <c r="AU85" i="1"/>
  <c r="AT85" i="1"/>
  <c r="AS85" i="1"/>
  <c r="AR85" i="1"/>
  <c r="AQ85" i="1"/>
  <c r="AP85" i="1"/>
</calcChain>
</file>

<file path=xl/sharedStrings.xml><?xml version="1.0" encoding="utf-8"?>
<sst xmlns="http://schemas.openxmlformats.org/spreadsheetml/2006/main" count="2117" uniqueCount="624">
  <si>
    <t>Year</t>
  </si>
  <si>
    <t>Name</t>
  </si>
  <si>
    <t>HR</t>
  </si>
  <si>
    <t>RBI</t>
  </si>
  <si>
    <t>SO</t>
  </si>
  <si>
    <t>TB</t>
  </si>
  <si>
    <t>H</t>
  </si>
  <si>
    <t>PA</t>
  </si>
  <si>
    <t>AB</t>
  </si>
  <si>
    <t>BB</t>
  </si>
  <si>
    <t>SF</t>
  </si>
  <si>
    <t>HBP</t>
  </si>
  <si>
    <t>BAbip</t>
  </si>
  <si>
    <t>TB/PA</t>
  </si>
  <si>
    <t>OPS</t>
  </si>
  <si>
    <t>K/PA</t>
  </si>
  <si>
    <t>SH</t>
  </si>
  <si>
    <t>R</t>
  </si>
  <si>
    <t>% votes</t>
  </si>
  <si>
    <t>X</t>
  </si>
  <si>
    <t>Derek Jeter</t>
  </si>
  <si>
    <t>Larry Walker</t>
  </si>
  <si>
    <t>Ted Simmons</t>
  </si>
  <si>
    <t>Mariano Rivera</t>
  </si>
  <si>
    <t>Roy Halladay</t>
  </si>
  <si>
    <t>Edgar Martinez</t>
  </si>
  <si>
    <t>Mike Mussina</t>
  </si>
  <si>
    <t>Harold Baines</t>
  </si>
  <si>
    <t>Lee Smith</t>
  </si>
  <si>
    <t>Chipper Jones</t>
  </si>
  <si>
    <t>Vladimir Guerrero</t>
  </si>
  <si>
    <t>Jim Thome</t>
  </si>
  <si>
    <t>Trevor Hoffman</t>
  </si>
  <si>
    <t>Jack Morris</t>
  </si>
  <si>
    <t>Alan Trammell</t>
  </si>
  <si>
    <t>Jeff Bagwell</t>
  </si>
  <si>
    <t>Tim Raines</t>
  </si>
  <si>
    <t>Ivan Rodriguez</t>
  </si>
  <si>
    <t>Ken Griffey Jr.</t>
  </si>
  <si>
    <t>Mike Piazza</t>
  </si>
  <si>
    <t>Randy Johnson</t>
  </si>
  <si>
    <t>Pedro Martinez</t>
  </si>
  <si>
    <t>John Smoltz</t>
  </si>
  <si>
    <t>Craig Biggio</t>
  </si>
  <si>
    <t>Greg Maddux</t>
  </si>
  <si>
    <t>Tom Glavine</t>
  </si>
  <si>
    <t>Frank Thomas</t>
  </si>
  <si>
    <t>Deacon White</t>
  </si>
  <si>
    <t>Barry Larkin</t>
  </si>
  <si>
    <t>Ron Santo</t>
  </si>
  <si>
    <t>Roberto Alomar</t>
  </si>
  <si>
    <t>Bert Blyleven</t>
  </si>
  <si>
    <t>Andre Dawson</t>
  </si>
  <si>
    <t>Rickey Henderson</t>
  </si>
  <si>
    <t>Jim Rice</t>
  </si>
  <si>
    <t>Joe Gordon</t>
  </si>
  <si>
    <t>Rich Gossage</t>
  </si>
  <si>
    <t>Cal Ripken Jr.</t>
  </si>
  <si>
    <t>Tony Gwynn</t>
  </si>
  <si>
    <t>Bruce Sutter</t>
  </si>
  <si>
    <t>Ray Brown</t>
  </si>
  <si>
    <t>Willard Brown</t>
  </si>
  <si>
    <t>Andy Cooper</t>
  </si>
  <si>
    <t>Frank Grant</t>
  </si>
  <si>
    <t>Pete Hill</t>
  </si>
  <si>
    <t>Biz Mackey</t>
  </si>
  <si>
    <t>José Mendéz</t>
  </si>
  <si>
    <t>Louis Santop</t>
  </si>
  <si>
    <t>Mule Suttles</t>
  </si>
  <si>
    <t>Ben Taylor</t>
  </si>
  <si>
    <t>Cristóbal Torriente</t>
  </si>
  <si>
    <t>Jud Wilson</t>
  </si>
  <si>
    <t>Wade Boggs</t>
  </si>
  <si>
    <t>Ryne Sandberg</t>
  </si>
  <si>
    <t>Paul Molitor</t>
  </si>
  <si>
    <t>Dennis Eckersley</t>
  </si>
  <si>
    <t>Eddie Murray</t>
  </si>
  <si>
    <t>Gary Carter</t>
  </si>
  <si>
    <t>Ozzie Smith</t>
  </si>
  <si>
    <t>Dave Winfield</t>
  </si>
  <si>
    <t>Kirby Puckett</t>
  </si>
  <si>
    <t>Bill Mazeroski</t>
  </si>
  <si>
    <t>Hilton Smith</t>
  </si>
  <si>
    <t>Carlton Fisk</t>
  </si>
  <si>
    <t>Tony Perez</t>
  </si>
  <si>
    <t>Bid McPhee</t>
  </si>
  <si>
    <t>Turkey Stearnes</t>
  </si>
  <si>
    <t>Nolan Ryan</t>
  </si>
  <si>
    <t>George Brett</t>
  </si>
  <si>
    <t>Robin Yount</t>
  </si>
  <si>
    <t>Orlando Cepeda</t>
  </si>
  <si>
    <t>Joe Williams</t>
  </si>
  <si>
    <t>Don Sutton</t>
  </si>
  <si>
    <t>George Davis</t>
  </si>
  <si>
    <t>Larry Doby</t>
  </si>
  <si>
    <t>Bullet Rogan</t>
  </si>
  <si>
    <t>Phil Niekro</t>
  </si>
  <si>
    <t>Nellie Fox</t>
  </si>
  <si>
    <t>Willie Wells</t>
  </si>
  <si>
    <t>Jim Bunning</t>
  </si>
  <si>
    <t>Bill Foster</t>
  </si>
  <si>
    <t>Mike Schmidt</t>
  </si>
  <si>
    <t>Richie Ashburn</t>
  </si>
  <si>
    <t>Vic Willis</t>
  </si>
  <si>
    <t>Steve Carlton</t>
  </si>
  <si>
    <t>Phil Rizzuto</t>
  </si>
  <si>
    <t>Reggie Jackson</t>
  </si>
  <si>
    <t>Tom Seaver</t>
  </si>
  <si>
    <t>Rollie Fingers</t>
  </si>
  <si>
    <t>Hal Newhouser</t>
  </si>
  <si>
    <t>Rod Carew</t>
  </si>
  <si>
    <t>Gaylord Perry</t>
  </si>
  <si>
    <t>Tony Lazzeri</t>
  </si>
  <si>
    <t>Jim Palmer</t>
  </si>
  <si>
    <t>Joe Morgan</t>
  </si>
  <si>
    <t>Johnny Bench</t>
  </si>
  <si>
    <t>Carl Yastrzemski</t>
  </si>
  <si>
    <t>Red Schoendienst</t>
  </si>
  <si>
    <t>Willie Stargell</t>
  </si>
  <si>
    <t>Billy Williams</t>
  </si>
  <si>
    <t>Ray Dandridge</t>
  </si>
  <si>
    <t>Willie McCovey</t>
  </si>
  <si>
    <t>Bobby Doerr</t>
  </si>
  <si>
    <t>Ernie Lombardi</t>
  </si>
  <si>
    <t>Hoyt Wilhelm</t>
  </si>
  <si>
    <t>Lou Brock</t>
  </si>
  <si>
    <t>Enos Slaughter</t>
  </si>
  <si>
    <t>Arky Vaughan</t>
  </si>
  <si>
    <t>Luis Aparicio</t>
  </si>
  <si>
    <t>Harmon Killebrew</t>
  </si>
  <si>
    <t>Don Drysdale</t>
  </si>
  <si>
    <t>Rick Ferrell</t>
  </si>
  <si>
    <t>Pee Wee Reese</t>
  </si>
  <si>
    <t>Brooks Robinson</t>
  </si>
  <si>
    <t>Juan Marichal</t>
  </si>
  <si>
    <t>George Kell</t>
  </si>
  <si>
    <t>Henry Aaron</t>
  </si>
  <si>
    <t>Frank Robinson</t>
  </si>
  <si>
    <t>Travis Jackson</t>
  </si>
  <si>
    <t>Bob Gibson</t>
  </si>
  <si>
    <t>Johnny Mize</t>
  </si>
  <si>
    <t>Al Kaline</t>
  </si>
  <si>
    <t>Duke Snider</t>
  </si>
  <si>
    <t>Chuck Klein</t>
  </si>
  <si>
    <t>Willie Mays</t>
  </si>
  <si>
    <t>Hack Wilson</t>
  </si>
  <si>
    <t>Eddie Mathews</t>
  </si>
  <si>
    <t>Addie Joss</t>
  </si>
  <si>
    <t>Ernie Banks</t>
  </si>
  <si>
    <t>Martín Dihigo</t>
  </si>
  <si>
    <t>John Henry Lloyd</t>
  </si>
  <si>
    <t>Amos Rusie</t>
  </si>
  <si>
    <t>Joe Sewell</t>
  </si>
  <si>
    <t>Bob Lemon</t>
  </si>
  <si>
    <t>Oscar Charleston</t>
  </si>
  <si>
    <t>Roger Connor</t>
  </si>
  <si>
    <t>Freddie Lindstrom</t>
  </si>
  <si>
    <t>Ralph Kiner</t>
  </si>
  <si>
    <t>Earl Averill</t>
  </si>
  <si>
    <t>Billy Herman</t>
  </si>
  <si>
    <t>Judy Johnson</t>
  </si>
  <si>
    <t>Mickey Mantle</t>
  </si>
  <si>
    <t>Whitey Ford</t>
  </si>
  <si>
    <t>Cool Papa Bell</t>
  </si>
  <si>
    <t>Jim Bottomley</t>
  </si>
  <si>
    <t>Sam Thompson</t>
  </si>
  <si>
    <t>Warren Spahn</t>
  </si>
  <si>
    <t>Roberto Clemente</t>
  </si>
  <si>
    <t>Monte Irvin</t>
  </si>
  <si>
    <t>High Pockets Kelly</t>
  </si>
  <si>
    <t>Sandy Koufax</t>
  </si>
  <si>
    <t>Yogi Berra</t>
  </si>
  <si>
    <t>Early Wynn</t>
  </si>
  <si>
    <t>Josh Gibson</t>
  </si>
  <si>
    <t>Lefty Gomez</t>
  </si>
  <si>
    <t>Buck Leonard</t>
  </si>
  <si>
    <t>Ross Youngs</t>
  </si>
  <si>
    <t>Dave Bancroft</t>
  </si>
  <si>
    <t>Jake Beckley</t>
  </si>
  <si>
    <t>Chick Hafey</t>
  </si>
  <si>
    <t>Harry Hooper</t>
  </si>
  <si>
    <t>Joe Kelley</t>
  </si>
  <si>
    <t>Rube Marquard</t>
  </si>
  <si>
    <t>Satchel Paige</t>
  </si>
  <si>
    <t>Lou Boudreau</t>
  </si>
  <si>
    <t>Earle Combs</t>
  </si>
  <si>
    <t>Jesse Haines</t>
  </si>
  <si>
    <t>Stan Musial</t>
  </si>
  <si>
    <t>Roy Campanella</t>
  </si>
  <si>
    <t>Stan Coveleski</t>
  </si>
  <si>
    <t>Waite Hoyt</t>
  </si>
  <si>
    <t>Joe Medwick</t>
  </si>
  <si>
    <t>Kiki Cuyler</t>
  </si>
  <si>
    <t>Goose Goslin</t>
  </si>
  <si>
    <t>Red Ruffing</t>
  </si>
  <si>
    <t>Lloyd Waner</t>
  </si>
  <si>
    <t>Ted Williams</t>
  </si>
  <si>
    <t>Luke Appling</t>
  </si>
  <si>
    <t>Red Faber</t>
  </si>
  <si>
    <t>Burleigh Grimes</t>
  </si>
  <si>
    <t>Tim Keefe</t>
  </si>
  <si>
    <t>Heinie Manush</t>
  </si>
  <si>
    <t>John Ward</t>
  </si>
  <si>
    <t>John Clarkson</t>
  </si>
  <si>
    <t>Elmer Flick</t>
  </si>
  <si>
    <t>Sam Rice</t>
  </si>
  <si>
    <t>Eppa Rixey</t>
  </si>
  <si>
    <t>Bob Feller</t>
  </si>
  <si>
    <t>Jackie Robinson</t>
  </si>
  <si>
    <t>Edd Roush</t>
  </si>
  <si>
    <t>Max Carey</t>
  </si>
  <si>
    <t>Billy Hamilton</t>
  </si>
  <si>
    <t>Zack Wheat</t>
  </si>
  <si>
    <t>Sam Crawford</t>
  </si>
  <si>
    <t>Hank Greenberg</t>
  </si>
  <si>
    <t>Joe Cronin</t>
  </si>
  <si>
    <t>Joe DiMaggio</t>
  </si>
  <si>
    <t>Ted Lyons</t>
  </si>
  <si>
    <t>Dazzy Vance</t>
  </si>
  <si>
    <t>Gabby Hartnett</t>
  </si>
  <si>
    <t>Home Run Baker</t>
  </si>
  <si>
    <t>Ray Schalk</t>
  </si>
  <si>
    <t>Rabbit Maranville</t>
  </si>
  <si>
    <t>Bill Dickey</t>
  </si>
  <si>
    <t>Bill Terry</t>
  </si>
  <si>
    <t>Dizzy Dean</t>
  </si>
  <si>
    <t>Al Simmons</t>
  </si>
  <si>
    <t>Charles Bender</t>
  </si>
  <si>
    <t>Bobby Wallace</t>
  </si>
  <si>
    <t>Harry Heilmann</t>
  </si>
  <si>
    <t>Paul Waner</t>
  </si>
  <si>
    <t>Mel Ott</t>
  </si>
  <si>
    <t>Jimmie Foxx</t>
  </si>
  <si>
    <t>Charlie Gehringer</t>
  </si>
  <si>
    <t>Mordecai Brown</t>
  </si>
  <si>
    <t>Kid Nichols</t>
  </si>
  <si>
    <t>Pie Traynor</t>
  </si>
  <si>
    <t>Carl Hubbell</t>
  </si>
  <si>
    <t>Frankie Frisch</t>
  </si>
  <si>
    <t>Mickey Cochrane</t>
  </si>
  <si>
    <t>Lefty Grove</t>
  </si>
  <si>
    <t>Jesse Burkett</t>
  </si>
  <si>
    <t>Frank Chance</t>
  </si>
  <si>
    <t>Jack Chesbro</t>
  </si>
  <si>
    <t>Johnny Evers</t>
  </si>
  <si>
    <t>Tommy McCarthy</t>
  </si>
  <si>
    <t>Joe McGinnity</t>
  </si>
  <si>
    <t>Eddie Plank</t>
  </si>
  <si>
    <t>Joe Tinker</t>
  </si>
  <si>
    <t>Rube Waddell</t>
  </si>
  <si>
    <t>Ed Walsh</t>
  </si>
  <si>
    <t>Roger Bresnahan</t>
  </si>
  <si>
    <t>Dan Brouthers</t>
  </si>
  <si>
    <t>Fred Clarke</t>
  </si>
  <si>
    <t>Jimmy Collins</t>
  </si>
  <si>
    <t>Ed Delahanty</t>
  </si>
  <si>
    <t>Hugh Duffy</t>
  </si>
  <si>
    <t>Hughie Jennings</t>
  </si>
  <si>
    <t>King Kelly</t>
  </si>
  <si>
    <t>Jim O'Rourke</t>
  </si>
  <si>
    <t>Rogers Hornsby</t>
  </si>
  <si>
    <t>George Sisler</t>
  </si>
  <si>
    <t>Eddie Collins</t>
  </si>
  <si>
    <t>Willie Keeler</t>
  </si>
  <si>
    <t>Cap Anson</t>
  </si>
  <si>
    <t>Buck Ewing</t>
  </si>
  <si>
    <t>Lou Gehrig</t>
  </si>
  <si>
    <t>Old Hoss Radbourn</t>
  </si>
  <si>
    <t>Pete Alexander</t>
  </si>
  <si>
    <t>Nap Lajoie</t>
  </si>
  <si>
    <t>Tris Speaker</t>
  </si>
  <si>
    <t>Cy Young</t>
  </si>
  <si>
    <t>Ty Cobb</t>
  </si>
  <si>
    <t>Babe Ruth</t>
  </si>
  <si>
    <t>Honus Wagner</t>
  </si>
  <si>
    <t>Christy Mathewson</t>
  </si>
  <si>
    <t>Walter Johnson</t>
  </si>
  <si>
    <t>bEFT</t>
  </si>
  <si>
    <t>pEFT</t>
  </si>
  <si>
    <t>SF %</t>
  </si>
  <si>
    <t>HBP %</t>
  </si>
  <si>
    <t>SH %</t>
  </si>
  <si>
    <t>EFT</t>
  </si>
  <si>
    <t>N/A</t>
  </si>
  <si>
    <t>CIN Reds #14</t>
  </si>
  <si>
    <t xml:space="preserve">Clayton Kershaw </t>
  </si>
  <si>
    <t>HR/TB</t>
  </si>
  <si>
    <t>XB/H</t>
  </si>
  <si>
    <t>TBR%</t>
  </si>
  <si>
    <t>S/TB</t>
  </si>
  <si>
    <t>A1b/PA</t>
  </si>
  <si>
    <t>EFT+</t>
  </si>
  <si>
    <t>2B</t>
  </si>
  <si>
    <t>3B</t>
  </si>
  <si>
    <t>2B/PA</t>
  </si>
  <si>
    <t>3B/PA</t>
  </si>
  <si>
    <t>BOS Red Sox #21</t>
  </si>
  <si>
    <t>TEX Rangers #25</t>
  </si>
  <si>
    <t>SF Giants #24</t>
  </si>
  <si>
    <t>StL Cardinals #25</t>
  </si>
  <si>
    <t>CHI White Sox LF</t>
  </si>
  <si>
    <t>PHI Phillies #19</t>
  </si>
  <si>
    <t>MIN Twins #57</t>
  </si>
  <si>
    <t>HOU Astros #13</t>
  </si>
  <si>
    <t>Zack Greinke</t>
  </si>
  <si>
    <t>Craig Kimbrel</t>
  </si>
  <si>
    <t xml:space="preserve">Justin Verlander </t>
  </si>
  <si>
    <t xml:space="preserve">Max Scherzer </t>
  </si>
  <si>
    <t xml:space="preserve">Albert Pujols </t>
  </si>
  <si>
    <t>LA Dodgers #55</t>
  </si>
  <si>
    <t>Mike Trout</t>
  </si>
  <si>
    <t>Miguel Cabrera</t>
  </si>
  <si>
    <t>Joey Votto</t>
  </si>
  <si>
    <t>Evan Longoria</t>
  </si>
  <si>
    <t>Sample Batters</t>
  </si>
  <si>
    <t>Sample Pitchers</t>
  </si>
  <si>
    <t>HOF Batters</t>
  </si>
  <si>
    <t>HOF Pitchers</t>
  </si>
  <si>
    <t>Leon Day (P)</t>
  </si>
  <si>
    <t>Mickey Welch (P)</t>
  </si>
  <si>
    <t>Catfish Hunter (P)</t>
  </si>
  <si>
    <t>Fergie Jenkins (P)</t>
  </si>
  <si>
    <t>Herb Pennock (P)</t>
  </si>
  <si>
    <t>Pud Galvin (P)</t>
  </si>
  <si>
    <t>Robin Roberts (P)</t>
  </si>
  <si>
    <t>Top 50</t>
  </si>
  <si>
    <t>RVAL</t>
  </si>
  <si>
    <t>Joe McGinnity (P)</t>
  </si>
  <si>
    <t>Pitcher</t>
  </si>
  <si>
    <t>Batter</t>
  </si>
  <si>
    <t>All Players</t>
  </si>
  <si>
    <t>José Abreu</t>
  </si>
  <si>
    <t>Freddie Freeman</t>
  </si>
  <si>
    <t>Cody Bellinger</t>
  </si>
  <si>
    <t>Mookie Betts</t>
  </si>
  <si>
    <t>Christian Yelich</t>
  </si>
  <si>
    <t>Jose Altuve</t>
  </si>
  <si>
    <t>Giancarlo Stanton</t>
  </si>
  <si>
    <t>Kris Bryant</t>
  </si>
  <si>
    <t>Josh Donaldson</t>
  </si>
  <si>
    <t>Bryce Harper</t>
  </si>
  <si>
    <t>Clayton Kershaw</t>
  </si>
  <si>
    <t>Andrew McCutchen</t>
  </si>
  <si>
    <t>Buster Posey</t>
  </si>
  <si>
    <t>Justin Verlander</t>
  </si>
  <si>
    <t>Ryan Braun</t>
  </si>
  <si>
    <t>Josh Hamilton</t>
  </si>
  <si>
    <t>Joe Mauer</t>
  </si>
  <si>
    <t>Albert Pujols</t>
  </si>
  <si>
    <t>Dustin Pedroia</t>
  </si>
  <si>
    <t>Alex Rodriguez</t>
  </si>
  <si>
    <t>Jimmy Rollins</t>
  </si>
  <si>
    <t>Justin Morneau</t>
  </si>
  <si>
    <t>Ryan Howard</t>
  </si>
  <si>
    <t>Barry Bonds</t>
  </si>
  <si>
    <t>Miguel Tejada</t>
  </si>
  <si>
    <t>Ichiro Suzuki</t>
  </si>
  <si>
    <t>Jason Giambi</t>
  </si>
  <si>
    <t>Jeff Kent</t>
  </si>
  <si>
    <t>Juan Gonzalez</t>
  </si>
  <si>
    <t>Sammy Sosa</t>
  </si>
  <si>
    <t>Ken Caminiti</t>
  </si>
  <si>
    <t>Mo Vaughn</t>
  </si>
  <si>
    <t>Terry Pendleton</t>
  </si>
  <si>
    <t>Kevin Mitchell</t>
  </si>
  <si>
    <t>Jose Canseco</t>
  </si>
  <si>
    <t>Kirk Gibson</t>
  </si>
  <si>
    <t>George Bell</t>
  </si>
  <si>
    <t>Roger Clemens</t>
  </si>
  <si>
    <t>Don Mattingly</t>
  </si>
  <si>
    <t>Willie McGee</t>
  </si>
  <si>
    <t>Willie Hernandez</t>
  </si>
  <si>
    <t>Dale Murphy</t>
  </si>
  <si>
    <t>Don Baylor</t>
  </si>
  <si>
    <t>Keith Hernandez</t>
  </si>
  <si>
    <t>Dave Parker</t>
  </si>
  <si>
    <t>George Foster</t>
  </si>
  <si>
    <t>Thurman Munson</t>
  </si>
  <si>
    <t>Fred Lynn</t>
  </si>
  <si>
    <t>Jeff Burroughs</t>
  </si>
  <si>
    <t>Steve Garvey</t>
  </si>
  <si>
    <t>Pete Rose</t>
  </si>
  <si>
    <t>Dick Allen</t>
  </si>
  <si>
    <t>Vida Blue</t>
  </si>
  <si>
    <t>Joe Torre</t>
  </si>
  <si>
    <t>Boog Powell</t>
  </si>
  <si>
    <t>Denny McLain</t>
  </si>
  <si>
    <t>Zoilo Versalles</t>
  </si>
  <si>
    <t>Ken Boyer</t>
  </si>
  <si>
    <t>Elston Howard</t>
  </si>
  <si>
    <t>Maury Wills</t>
  </si>
  <si>
    <t>Roger Maris</t>
  </si>
  <si>
    <t>Dick Groat</t>
  </si>
  <si>
    <t>Jackie Jensen</t>
  </si>
  <si>
    <t>Don Newcombe</t>
  </si>
  <si>
    <t>Al Rosen</t>
  </si>
  <si>
    <t>Bobby Shantz</t>
  </si>
  <si>
    <t>Hank Sauer</t>
  </si>
  <si>
    <t>Jim Konstanty</t>
  </si>
  <si>
    <t>Bob Elliott</t>
  </si>
  <si>
    <t>Phil Cavarretta</t>
  </si>
  <si>
    <t>Marty Marion</t>
  </si>
  <si>
    <t>Spud Chandler</t>
  </si>
  <si>
    <t>Mort Cooper</t>
  </si>
  <si>
    <t>Dolph Camilli</t>
  </si>
  <si>
    <t>Frank McCormick</t>
  </si>
  <si>
    <t>Bucky Walters</t>
  </si>
  <si>
    <t>George Burns</t>
  </si>
  <si>
    <t>Bob O'Farrell</t>
  </si>
  <si>
    <t>Roger Peckinpaugh</t>
  </si>
  <si>
    <t>Jake Daubert</t>
  </si>
  <si>
    <t>Larry Doyle</t>
  </si>
  <si>
    <t>Frank Schulte</t>
  </si>
  <si>
    <t>MVP Batters</t>
  </si>
  <si>
    <t>MVP Pitchers</t>
  </si>
  <si>
    <t>Trevor Bauer</t>
  </si>
  <si>
    <t>Jacob deGrom</t>
  </si>
  <si>
    <t>Blake Snell</t>
  </si>
  <si>
    <t>Corey Kluber</t>
  </si>
  <si>
    <t>Max Scherzer</t>
  </si>
  <si>
    <t>Rick Porcello</t>
  </si>
  <si>
    <t>Dallas Keuchel</t>
  </si>
  <si>
    <t>Jake Arrieta</t>
  </si>
  <si>
    <t>David Price</t>
  </si>
  <si>
    <t>R.A. Dickey</t>
  </si>
  <si>
    <t>Felix Hernandez</t>
  </si>
  <si>
    <t>Tim Lincecum</t>
  </si>
  <si>
    <t>Cliff Lee</t>
  </si>
  <si>
    <t>CC Sabathia</t>
  </si>
  <si>
    <t>Jake Peavy</t>
  </si>
  <si>
    <t>Johan Santana</t>
  </si>
  <si>
    <t>Brandon Webb</t>
  </si>
  <si>
    <t>Bartolo Colon</t>
  </si>
  <si>
    <t>Chris Carpenter</t>
  </si>
  <si>
    <t>Eric Gagne</t>
  </si>
  <si>
    <t>Barry Zito</t>
  </si>
  <si>
    <t>Pat Hentgen</t>
  </si>
  <si>
    <t>David Cone</t>
  </si>
  <si>
    <t>Jack McDowell</t>
  </si>
  <si>
    <t>Bob Welch</t>
  </si>
  <si>
    <t>Doug Drabek</t>
  </si>
  <si>
    <t>Bret Saberhagen</t>
  </si>
  <si>
    <t>Mark Davis</t>
  </si>
  <si>
    <t>Frank Viola</t>
  </si>
  <si>
    <t>Orel Hershiser</t>
  </si>
  <si>
    <t>Steve Bedrosian</t>
  </si>
  <si>
    <t>Mike Scott</t>
  </si>
  <si>
    <t>Dwight Gooden</t>
  </si>
  <si>
    <t>Rick Sutcliffe</t>
  </si>
  <si>
    <t>LaMarr Hoyt</t>
  </si>
  <si>
    <t>John Denny</t>
  </si>
  <si>
    <t>Pete Vuckovich</t>
  </si>
  <si>
    <t>Fernando Valenzuela</t>
  </si>
  <si>
    <t>Steve Stone</t>
  </si>
  <si>
    <t>Mike Flanagan</t>
  </si>
  <si>
    <t>Ron Guidry</t>
  </si>
  <si>
    <t>Sparky Lyle</t>
  </si>
  <si>
    <t>Randy Jones</t>
  </si>
  <si>
    <t>Catfish Hunter</t>
  </si>
  <si>
    <t>Mike Marshall</t>
  </si>
  <si>
    <t>Fergie Jenkins</t>
  </si>
  <si>
    <t>Jim Perry</t>
  </si>
  <si>
    <t>Mike Cuellar</t>
  </si>
  <si>
    <t>Jim Lonborg</t>
  </si>
  <si>
    <t>Mike McCormick</t>
  </si>
  <si>
    <t>Dean Chance</t>
  </si>
  <si>
    <t>Vern Law</t>
  </si>
  <si>
    <t>Bob Turley</t>
  </si>
  <si>
    <t>Shane Bieber</t>
  </si>
  <si>
    <t>Liam Hendriks</t>
  </si>
  <si>
    <t>Devin Williams</t>
  </si>
  <si>
    <t>Aroldis Chapman</t>
  </si>
  <si>
    <t>Josh Hader</t>
  </si>
  <si>
    <t>Edwin Diaz</t>
  </si>
  <si>
    <t>Kenley Jansen</t>
  </si>
  <si>
    <t>Zack Britton</t>
  </si>
  <si>
    <t>Andrew Miller</t>
  </si>
  <si>
    <t>Mark Melancon</t>
  </si>
  <si>
    <t>Greg Holland</t>
  </si>
  <si>
    <t>Jim Johnson</t>
  </si>
  <si>
    <t>Jose Valverde</t>
  </si>
  <si>
    <t>John Axford</t>
  </si>
  <si>
    <t>Rafael Soriano</t>
  </si>
  <si>
    <t>Heath Bell</t>
  </si>
  <si>
    <t>Joe Nathan</t>
  </si>
  <si>
    <t>Francisco Rodriguez</t>
  </si>
  <si>
    <t>Brad Lidge</t>
  </si>
  <si>
    <t>J.J. Putz</t>
  </si>
  <si>
    <t>Chad Cordero</t>
  </si>
  <si>
    <t>Keith Foulke</t>
  </si>
  <si>
    <t>Billy Koch</t>
  </si>
  <si>
    <t>Armando Benitez</t>
  </si>
  <si>
    <t>Todd Jones</t>
  </si>
  <si>
    <t>Antonio Alfonseca</t>
  </si>
  <si>
    <t>Billy Wagner</t>
  </si>
  <si>
    <t>Tom Gordon</t>
  </si>
  <si>
    <t>Randy Myers</t>
  </si>
  <si>
    <t>Jeff Shaw</t>
  </si>
  <si>
    <t>John Wetteland</t>
  </si>
  <si>
    <t>Jeff Brantley</t>
  </si>
  <si>
    <t>Jose Mesa</t>
  </si>
  <si>
    <t>Tom Henke</t>
  </si>
  <si>
    <t>Rod Beck</t>
  </si>
  <si>
    <t>Jeff Montgomery</t>
  </si>
  <si>
    <t>Bryan Harvey</t>
  </si>
  <si>
    <t>Bobby Thigpen</t>
  </si>
  <si>
    <t>John Franco</t>
  </si>
  <si>
    <t>Jeff Russell</t>
  </si>
  <si>
    <t>Dave Righetti</t>
  </si>
  <si>
    <t>Todd Worrell</t>
  </si>
  <si>
    <t>Dan Quisenberry</t>
  </si>
  <si>
    <t>Jeff Reardon</t>
  </si>
  <si>
    <t>Al Holland</t>
  </si>
  <si>
    <t>Jim Kern</t>
  </si>
  <si>
    <t>Bill Campbell</t>
  </si>
  <si>
    <t>Rawly Eastwick</t>
  </si>
  <si>
    <t>Kyle Lewis</t>
  </si>
  <si>
    <t>Yordan Álvarez</t>
  </si>
  <si>
    <t>Pete Alonso</t>
  </si>
  <si>
    <t>Shohei Ohtani</t>
  </si>
  <si>
    <t>Ronald Acuna Jr.</t>
  </si>
  <si>
    <t>Aaron Judge</t>
  </si>
  <si>
    <t>Michael Fulmer</t>
  </si>
  <si>
    <t>Corey Seager</t>
  </si>
  <si>
    <t>Carlos Correa</t>
  </si>
  <si>
    <t>Wil Myers</t>
  </si>
  <si>
    <t>Jose Fernandez</t>
  </si>
  <si>
    <t>Jeremy Hellickson</t>
  </si>
  <si>
    <t>Neftali Feliz</t>
  </si>
  <si>
    <t>Andrew Bailey</t>
  </si>
  <si>
    <t>Chris Coghlan</t>
  </si>
  <si>
    <t>Geovany Soto</t>
  </si>
  <si>
    <t>Hanley Ramirez</t>
  </si>
  <si>
    <t>Huston Street</t>
  </si>
  <si>
    <t>Bobby Crosby</t>
  </si>
  <si>
    <t>Jason Bay</t>
  </si>
  <si>
    <t>Angel Berroa</t>
  </si>
  <si>
    <t>Dontrelle Willis</t>
  </si>
  <si>
    <t>Eric Hinske</t>
  </si>
  <si>
    <t>Kazuhiro Sasaki</t>
  </si>
  <si>
    <t>Rafael Furcal</t>
  </si>
  <si>
    <t>Carlos Beltran</t>
  </si>
  <si>
    <t>Scott Williamson</t>
  </si>
  <si>
    <t>Ben Grieve</t>
  </si>
  <si>
    <t>Kerry Wood</t>
  </si>
  <si>
    <t>Nomar Garciaparra</t>
  </si>
  <si>
    <t>Scott Rolen</t>
  </si>
  <si>
    <t>Todd Hollandsworth</t>
  </si>
  <si>
    <t>Marty Cordova</t>
  </si>
  <si>
    <t>Hideo Nomo</t>
  </si>
  <si>
    <t>Bob Hamelin</t>
  </si>
  <si>
    <t>Raul Mondesi</t>
  </si>
  <si>
    <t>Tim Salmon</t>
  </si>
  <si>
    <t>Pat Listach</t>
  </si>
  <si>
    <t>Eric Karros</t>
  </si>
  <si>
    <t>Chuck Knoblauch</t>
  </si>
  <si>
    <t>Sandy Alomar</t>
  </si>
  <si>
    <t>David Justice</t>
  </si>
  <si>
    <t>Gregg Olson</t>
  </si>
  <si>
    <t>Jerome Walton</t>
  </si>
  <si>
    <t>Walt Weiss</t>
  </si>
  <si>
    <t>Chris Sabo</t>
  </si>
  <si>
    <t>Mark McGwire</t>
  </si>
  <si>
    <t>Benito Santiago</t>
  </si>
  <si>
    <t>Ozzie Guillen</t>
  </si>
  <si>
    <t>Vince Coleman</t>
  </si>
  <si>
    <t>Alvin Davis</t>
  </si>
  <si>
    <t>Ron Kittle</t>
  </si>
  <si>
    <t>Darryl Strawberry</t>
  </si>
  <si>
    <t>Steve Sax</t>
  </si>
  <si>
    <t>Joe Charboneau</t>
  </si>
  <si>
    <t>Steve Howe</t>
  </si>
  <si>
    <t>John Castino</t>
  </si>
  <si>
    <t>Alfredo Griffin</t>
  </si>
  <si>
    <t>Lou Whitaker</t>
  </si>
  <si>
    <t>Bob Horner</t>
  </si>
  <si>
    <t>Mark Fidrych</t>
  </si>
  <si>
    <t>Butch Metzger</t>
  </si>
  <si>
    <t>Pat Zachry</t>
  </si>
  <si>
    <t>John Montefusco</t>
  </si>
  <si>
    <t>Mike Hargrove</t>
  </si>
  <si>
    <t>Bake McBride</t>
  </si>
  <si>
    <t>Al Bumbry</t>
  </si>
  <si>
    <t>Gary Matthews</t>
  </si>
  <si>
    <t>Jon Matlack</t>
  </si>
  <si>
    <t>Chris Chambliss</t>
  </si>
  <si>
    <t>Earl Williams</t>
  </si>
  <si>
    <t>Lou Piniella</t>
  </si>
  <si>
    <t>Ted Sizemore</t>
  </si>
  <si>
    <t>Stan Bahnsen</t>
  </si>
  <si>
    <t>Tommie Agee</t>
  </si>
  <si>
    <t>Tommy Helms</t>
  </si>
  <si>
    <t>Curt Blefary</t>
  </si>
  <si>
    <t>Jim Lefebvre</t>
  </si>
  <si>
    <t>Tony Oliva</t>
  </si>
  <si>
    <t>Gary Peters</t>
  </si>
  <si>
    <t>Tom Tresh</t>
  </si>
  <si>
    <t>Ken Hubbs</t>
  </si>
  <si>
    <t>Don Schwall</t>
  </si>
  <si>
    <t>Ron Hansen</t>
  </si>
  <si>
    <t>Frank Howard</t>
  </si>
  <si>
    <t>Bob Allison</t>
  </si>
  <si>
    <t>Albie Pearson</t>
  </si>
  <si>
    <t>Tony Kubek</t>
  </si>
  <si>
    <t>Jack Sanford</t>
  </si>
  <si>
    <t>Herb Score</t>
  </si>
  <si>
    <t>Bill Virdon</t>
  </si>
  <si>
    <t>Bob Grim</t>
  </si>
  <si>
    <t>Wally Moon</t>
  </si>
  <si>
    <t>Harvey Kuenn</t>
  </si>
  <si>
    <t>Jim Gilliam</t>
  </si>
  <si>
    <t>Harry Byrd</t>
  </si>
  <si>
    <t>Joe Black</t>
  </si>
  <si>
    <t>Gil McDougald</t>
  </si>
  <si>
    <t>Walt Dropo</t>
  </si>
  <si>
    <t>Sam Jethroe</t>
  </si>
  <si>
    <t>Roy Sievers</t>
  </si>
  <si>
    <t>Al Dark</t>
  </si>
  <si>
    <t>Jason Jennings (P)</t>
  </si>
  <si>
    <t>Carl Morton (P)</t>
  </si>
  <si>
    <t>Outstanding Pitcher</t>
  </si>
  <si>
    <t>Reliever of Year</t>
  </si>
  <si>
    <t>ROY Batter</t>
  </si>
  <si>
    <t>ROY Pitcher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</si>
</sst>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%"/>
    <numFmt numFmtId="166" formatCode="0.000%"/>
    <numFmt numFmtId="167" formatCode="0.000"/>
    <numFmt numFmtId="168" formatCode="#,##0.0"/>
    <numFmt numFmtId="169" formatCode="0.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C00000"/>
      <name val="Calibri"/>
    </font>
    <font>
      <sz val="12"/>
      <color rgb="FF000000"/>
      <name val="Calibri"/>
    </font>
    <font>
      <b/>
      <sz val="12"/>
      <color theme="1"/>
      <name val="Calibri (Body)"/>
    </font>
    <font>
      <b/>
      <sz val="12"/>
      <color rgb="FF806000"/>
      <name val="Calibri (Body)"/>
    </font>
    <font>
      <i/>
      <sz val="12"/>
      <color rgb="FF00B05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theme="5" tint="-0.499984740745262"/>
      <name val="Calibri"/>
      <family val="2"/>
      <scheme val="minor"/>
    </font>
    <font>
      <i/>
      <sz val="12"/>
      <color theme="5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8999908444471571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</borders>
  <cellStyleXfs count="2">
    <xf numFmtId="0" fontId="0" fillId="0" borderId="0"/>
    <xf numFmtId="0" fontId="3" fillId="0" borderId="0"/>
  </cellStyleXfs>
  <cellXfs count="318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left" vertical="center"/>
    </xf>
    <xf numFmtId="165" fontId="2" fillId="6" borderId="0" xfId="0" applyNumberFormat="1" applyFont="1" applyFill="1" applyBorder="1" applyAlignment="1">
      <alignment horizontal="center" vertical="center"/>
    </xf>
    <xf numFmtId="3" fontId="7" fillId="6" borderId="0" xfId="0" applyNumberFormat="1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 wrapText="1"/>
    </xf>
    <xf numFmtId="3" fontId="7" fillId="8" borderId="1" xfId="0" applyNumberFormat="1" applyFont="1" applyFill="1" applyBorder="1" applyAlignment="1">
      <alignment horizontal="center" vertical="center"/>
    </xf>
    <xf numFmtId="3" fontId="2" fillId="8" borderId="3" xfId="0" applyNumberFormat="1" applyFont="1" applyFill="1" applyBorder="1" applyAlignment="1">
      <alignment horizontal="center" vertical="center"/>
    </xf>
    <xf numFmtId="3" fontId="9" fillId="8" borderId="4" xfId="0" applyNumberFormat="1" applyFont="1" applyFill="1" applyBorder="1" applyAlignment="1">
      <alignment horizontal="center" vertical="center"/>
    </xf>
    <xf numFmtId="3" fontId="9" fillId="8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166" fontId="1" fillId="6" borderId="0" xfId="0" applyNumberFormat="1" applyFont="1" applyFill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left" vertical="center"/>
    </xf>
    <xf numFmtId="0" fontId="1" fillId="8" borderId="5" xfId="0" applyFont="1" applyFill="1" applyBorder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3" fontId="1" fillId="6" borderId="0" xfId="0" applyNumberFormat="1" applyFont="1" applyFill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3" fontId="7" fillId="6" borderId="0" xfId="0" applyNumberFormat="1" applyFont="1" applyFill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2" fontId="2" fillId="6" borderId="0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164" fontId="2" fillId="7" borderId="3" xfId="0" applyNumberFormat="1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164" fontId="9" fillId="7" borderId="4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4" fillId="4" borderId="0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4" fontId="13" fillId="9" borderId="10" xfId="0" applyNumberFormat="1" applyFont="1" applyFill="1" applyBorder="1" applyAlignment="1">
      <alignment horizontal="center" vertical="center" wrapText="1"/>
    </xf>
    <xf numFmtId="164" fontId="13" fillId="9" borderId="11" xfId="0" applyNumberFormat="1" applyFont="1" applyFill="1" applyBorder="1" applyAlignment="1">
      <alignment horizontal="center" vertical="center" wrapText="1"/>
    </xf>
    <xf numFmtId="164" fontId="13" fillId="9" borderId="8" xfId="0" applyNumberFormat="1" applyFont="1" applyFill="1" applyBorder="1" applyAlignment="1">
      <alignment horizontal="center" vertical="center" wrapText="1"/>
    </xf>
    <xf numFmtId="164" fontId="13" fillId="9" borderId="9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7" fillId="10" borderId="1" xfId="0" applyNumberFormat="1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left" vertical="center"/>
    </xf>
    <xf numFmtId="3" fontId="4" fillId="8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68" fontId="9" fillId="5" borderId="1" xfId="0" applyNumberFormat="1" applyFont="1" applyFill="1" applyBorder="1" applyAlignment="1">
      <alignment horizontal="center" vertical="center"/>
    </xf>
    <xf numFmtId="2" fontId="15" fillId="10" borderId="2" xfId="0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164" fontId="17" fillId="7" borderId="1" xfId="0" applyNumberFormat="1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2" fontId="17" fillId="5" borderId="1" xfId="0" applyNumberFormat="1" applyFont="1" applyFill="1" applyBorder="1" applyAlignment="1">
      <alignment horizontal="center" vertical="center"/>
    </xf>
    <xf numFmtId="168" fontId="17" fillId="5" borderId="1" xfId="0" applyNumberFormat="1" applyFont="1" applyFill="1" applyBorder="1" applyAlignment="1">
      <alignment horizontal="center" vertical="center"/>
    </xf>
    <xf numFmtId="164" fontId="17" fillId="7" borderId="3" xfId="0" applyNumberFormat="1" applyFont="1" applyFill="1" applyBorder="1" applyAlignment="1">
      <alignment horizontal="center" vertical="center"/>
    </xf>
    <xf numFmtId="164" fontId="17" fillId="5" borderId="3" xfId="0" applyNumberFormat="1" applyFont="1" applyFill="1" applyBorder="1" applyAlignment="1">
      <alignment horizontal="center" vertical="center"/>
    </xf>
    <xf numFmtId="2" fontId="17" fillId="5" borderId="3" xfId="0" applyNumberFormat="1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left" vertical="center"/>
    </xf>
    <xf numFmtId="168" fontId="18" fillId="5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165" fontId="18" fillId="3" borderId="1" xfId="0" applyNumberFormat="1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left" vertical="center"/>
    </xf>
    <xf numFmtId="165" fontId="19" fillId="3" borderId="1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center" vertical="center"/>
    </xf>
    <xf numFmtId="164" fontId="19" fillId="5" borderId="1" xfId="0" applyNumberFormat="1" applyFont="1" applyFill="1" applyBorder="1" applyAlignment="1">
      <alignment horizontal="center" vertical="center"/>
    </xf>
    <xf numFmtId="2" fontId="19" fillId="5" borderId="1" xfId="0" applyNumberFormat="1" applyFont="1" applyFill="1" applyBorder="1" applyAlignment="1">
      <alignment horizontal="center" vertical="center"/>
    </xf>
    <xf numFmtId="164" fontId="19" fillId="7" borderId="4" xfId="0" applyNumberFormat="1" applyFont="1" applyFill="1" applyBorder="1" applyAlignment="1">
      <alignment horizontal="center" vertical="center"/>
    </xf>
    <xf numFmtId="164" fontId="19" fillId="5" borderId="4" xfId="0" applyNumberFormat="1" applyFont="1" applyFill="1" applyBorder="1" applyAlignment="1">
      <alignment horizontal="center" vertical="center"/>
    </xf>
    <xf numFmtId="2" fontId="19" fillId="5" borderId="4" xfId="0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left" vertical="center"/>
    </xf>
    <xf numFmtId="164" fontId="18" fillId="7" borderId="3" xfId="0" applyNumberFormat="1" applyFont="1" applyFill="1" applyBorder="1" applyAlignment="1">
      <alignment horizontal="center" vertical="center"/>
    </xf>
    <xf numFmtId="164" fontId="18" fillId="5" borderId="3" xfId="0" applyNumberFormat="1" applyFont="1" applyFill="1" applyBorder="1" applyAlignment="1">
      <alignment horizontal="center" vertical="center"/>
    </xf>
    <xf numFmtId="2" fontId="18" fillId="5" borderId="3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20" fillId="7" borderId="4" xfId="0" applyNumberFormat="1" applyFont="1" applyFill="1" applyBorder="1" applyAlignment="1">
      <alignment horizontal="center" vertical="center"/>
    </xf>
    <xf numFmtId="164" fontId="20" fillId="7" borderId="1" xfId="0" applyNumberFormat="1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center" vertical="center"/>
    </xf>
    <xf numFmtId="164" fontId="16" fillId="10" borderId="1" xfId="0" applyNumberFormat="1" applyFont="1" applyFill="1" applyBorder="1" applyAlignment="1">
      <alignment horizontal="center" vertical="center"/>
    </xf>
    <xf numFmtId="168" fontId="19" fillId="5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9" fillId="8" borderId="6" xfId="0" applyFont="1" applyFill="1" applyBorder="1" applyAlignment="1">
      <alignment horizontal="left" vertical="center"/>
    </xf>
    <xf numFmtId="165" fontId="19" fillId="3" borderId="4" xfId="0" applyNumberFormat="1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/>
    </xf>
    <xf numFmtId="165" fontId="18" fillId="3" borderId="3" xfId="0" applyNumberFormat="1" applyFont="1" applyFill="1" applyBorder="1" applyAlignment="1">
      <alignment horizontal="center" vertical="center"/>
    </xf>
    <xf numFmtId="3" fontId="5" fillId="8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2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left" vertical="center"/>
    </xf>
    <xf numFmtId="164" fontId="21" fillId="12" borderId="12" xfId="0" applyNumberFormat="1" applyFont="1" applyFill="1" applyBorder="1" applyAlignment="1">
      <alignment horizontal="center" vertical="center"/>
    </xf>
    <xf numFmtId="0" fontId="22" fillId="12" borderId="12" xfId="0" applyFont="1" applyFill="1" applyBorder="1" applyAlignment="1">
      <alignment horizontal="left" vertical="center"/>
    </xf>
    <xf numFmtId="164" fontId="22" fillId="12" borderId="12" xfId="0" applyNumberFormat="1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horizontal="left" vertical="center"/>
    </xf>
    <xf numFmtId="164" fontId="21" fillId="11" borderId="12" xfId="0" applyNumberFormat="1" applyFont="1" applyFill="1" applyBorder="1" applyAlignment="1">
      <alignment horizontal="center" vertical="center"/>
    </xf>
    <xf numFmtId="0" fontId="22" fillId="11" borderId="12" xfId="0" applyFont="1" applyFill="1" applyBorder="1" applyAlignment="1">
      <alignment horizontal="left" vertical="center"/>
    </xf>
    <xf numFmtId="164" fontId="22" fillId="11" borderId="12" xfId="0" applyNumberFormat="1" applyFont="1" applyFill="1" applyBorder="1" applyAlignment="1">
      <alignment horizontal="center" vertical="center"/>
    </xf>
    <xf numFmtId="164" fontId="7" fillId="10" borderId="12" xfId="0" applyNumberFormat="1" applyFont="1" applyFill="1" applyBorder="1" applyAlignment="1">
      <alignment horizontal="center" vertical="center"/>
    </xf>
    <xf numFmtId="164" fontId="23" fillId="11" borderId="12" xfId="0" applyNumberFormat="1" applyFont="1" applyFill="1" applyBorder="1" applyAlignment="1">
      <alignment horizontal="center" vertical="center"/>
    </xf>
    <xf numFmtId="164" fontId="23" fillId="12" borderId="12" xfId="0" applyNumberFormat="1" applyFont="1" applyFill="1" applyBorder="1" applyAlignment="1">
      <alignment horizontal="center" vertical="center"/>
    </xf>
    <xf numFmtId="168" fontId="1" fillId="5" borderId="1" xfId="0" applyNumberFormat="1" applyFont="1" applyFill="1" applyBorder="1" applyAlignment="1">
      <alignment horizontal="center" vertical="center"/>
    </xf>
    <xf numFmtId="168" fontId="1" fillId="6" borderId="0" xfId="0" applyNumberFormat="1" applyFont="1" applyFill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2" fontId="21" fillId="12" borderId="13" xfId="0" applyNumberFormat="1" applyFont="1" applyFill="1" applyBorder="1" applyAlignment="1">
      <alignment horizontal="center" vertical="center"/>
    </xf>
    <xf numFmtId="2" fontId="23" fillId="12" borderId="13" xfId="0" applyNumberFormat="1" applyFont="1" applyFill="1" applyBorder="1" applyAlignment="1">
      <alignment horizontal="center" vertical="center"/>
    </xf>
    <xf numFmtId="2" fontId="22" fillId="12" borderId="13" xfId="0" applyNumberFormat="1" applyFont="1" applyFill="1" applyBorder="1" applyAlignment="1">
      <alignment horizontal="center" vertical="center"/>
    </xf>
    <xf numFmtId="2" fontId="21" fillId="11" borderId="13" xfId="0" applyNumberFormat="1" applyFont="1" applyFill="1" applyBorder="1" applyAlignment="1">
      <alignment horizontal="center" vertical="center"/>
    </xf>
    <xf numFmtId="2" fontId="23" fillId="11" borderId="13" xfId="0" applyNumberFormat="1" applyFont="1" applyFill="1" applyBorder="1" applyAlignment="1">
      <alignment horizontal="center" vertical="center"/>
    </xf>
    <xf numFmtId="2" fontId="22" fillId="11" borderId="13" xfId="0" applyNumberFormat="1" applyFont="1" applyFill="1" applyBorder="1" applyAlignment="1">
      <alignment horizontal="center" vertical="center"/>
    </xf>
    <xf numFmtId="169" fontId="21" fillId="11" borderId="12" xfId="0" applyNumberFormat="1" applyFont="1" applyFill="1" applyBorder="1" applyAlignment="1">
      <alignment horizontal="center" vertical="center"/>
    </xf>
    <xf numFmtId="169" fontId="23" fillId="11" borderId="12" xfId="0" applyNumberFormat="1" applyFont="1" applyFill="1" applyBorder="1" applyAlignment="1">
      <alignment horizontal="center" vertical="center"/>
    </xf>
    <xf numFmtId="169" fontId="22" fillId="11" borderId="12" xfId="0" applyNumberFormat="1" applyFont="1" applyFill="1" applyBorder="1" applyAlignment="1">
      <alignment horizontal="center" vertical="center"/>
    </xf>
    <xf numFmtId="169" fontId="9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2" fontId="24" fillId="10" borderId="2" xfId="0" applyNumberFormat="1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left" vertical="center"/>
    </xf>
    <xf numFmtId="0" fontId="24" fillId="10" borderId="12" xfId="0" applyFont="1" applyFill="1" applyBorder="1" applyAlignment="1">
      <alignment horizontal="left" vertical="center"/>
    </xf>
    <xf numFmtId="169" fontId="21" fillId="12" borderId="12" xfId="0" applyNumberFormat="1" applyFont="1" applyFill="1" applyBorder="1" applyAlignment="1">
      <alignment horizontal="center" vertical="center"/>
    </xf>
    <xf numFmtId="169" fontId="22" fillId="12" borderId="12" xfId="0" applyNumberFormat="1" applyFont="1" applyFill="1" applyBorder="1" applyAlignment="1">
      <alignment horizontal="center" vertical="center"/>
    </xf>
    <xf numFmtId="169" fontId="23" fillId="12" borderId="12" xfId="0" applyNumberFormat="1" applyFont="1" applyFill="1" applyBorder="1" applyAlignment="1">
      <alignment horizontal="center" vertical="center"/>
    </xf>
    <xf numFmtId="164" fontId="4" fillId="13" borderId="12" xfId="0" applyNumberFormat="1" applyFont="1" applyFill="1" applyBorder="1" applyAlignment="1">
      <alignment horizontal="center" vertical="center"/>
    </xf>
    <xf numFmtId="164" fontId="1" fillId="13" borderId="12" xfId="0" applyNumberFormat="1" applyFont="1" applyFill="1" applyBorder="1" applyAlignment="1">
      <alignment horizontal="center" vertical="center"/>
    </xf>
    <xf numFmtId="164" fontId="17" fillId="13" borderId="12" xfId="0" applyNumberFormat="1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168" fontId="4" fillId="5" borderId="12" xfId="0" applyNumberFormat="1" applyFont="1" applyFill="1" applyBorder="1" applyAlignment="1">
      <alignment horizontal="center" vertical="center"/>
    </xf>
    <xf numFmtId="3" fontId="4" fillId="8" borderId="12" xfId="0" applyNumberFormat="1" applyFont="1" applyFill="1" applyBorder="1" applyAlignment="1">
      <alignment horizontal="center" vertical="center"/>
    </xf>
    <xf numFmtId="164" fontId="1" fillId="5" borderId="12" xfId="0" applyNumberFormat="1" applyFont="1" applyFill="1" applyBorder="1" applyAlignment="1">
      <alignment horizontal="center" vertical="center"/>
    </xf>
    <xf numFmtId="2" fontId="1" fillId="5" borderId="12" xfId="0" applyNumberFormat="1" applyFont="1" applyFill="1" applyBorder="1" applyAlignment="1">
      <alignment horizontal="center" vertical="center"/>
    </xf>
    <xf numFmtId="3" fontId="1" fillId="8" borderId="12" xfId="0" applyNumberFormat="1" applyFont="1" applyFill="1" applyBorder="1" applyAlignment="1">
      <alignment horizontal="center" vertical="center"/>
    </xf>
    <xf numFmtId="3" fontId="7" fillId="8" borderId="12" xfId="0" applyNumberFormat="1" applyFont="1" applyFill="1" applyBorder="1" applyAlignment="1">
      <alignment horizontal="center" vertical="center"/>
    </xf>
    <xf numFmtId="164" fontId="17" fillId="5" borderId="12" xfId="0" applyNumberFormat="1" applyFont="1" applyFill="1" applyBorder="1" applyAlignment="1">
      <alignment horizontal="center" vertical="center"/>
    </xf>
    <xf numFmtId="2" fontId="17" fillId="5" borderId="12" xfId="0" applyNumberFormat="1" applyFont="1" applyFill="1" applyBorder="1" applyAlignment="1">
      <alignment horizontal="center" vertical="center"/>
    </xf>
    <xf numFmtId="168" fontId="17" fillId="5" borderId="12" xfId="0" applyNumberFormat="1" applyFont="1" applyFill="1" applyBorder="1" applyAlignment="1">
      <alignment horizontal="center" vertical="center"/>
    </xf>
    <xf numFmtId="3" fontId="4" fillId="8" borderId="12" xfId="0" applyNumberFormat="1" applyFont="1" applyFill="1" applyBorder="1" applyAlignment="1">
      <alignment horizontal="center" vertical="center" wrapText="1"/>
    </xf>
    <xf numFmtId="168" fontId="24" fillId="10" borderId="14" xfId="0" applyNumberFormat="1" applyFont="1" applyFill="1" applyBorder="1" applyAlignment="1">
      <alignment horizontal="center" vertical="center"/>
    </xf>
    <xf numFmtId="168" fontId="15" fillId="10" borderId="14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2" fontId="2" fillId="6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164" fontId="2" fillId="6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13" borderId="12" xfId="0" applyNumberFormat="1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5" fillId="2" borderId="12" xfId="0" applyFont="1" applyFill="1" applyBorder="1" applyAlignment="1">
      <alignment horizontal="center" vertical="center" wrapText="1"/>
    </xf>
    <xf numFmtId="0" fontId="17" fillId="14" borderId="12" xfId="0" applyFont="1" applyFill="1" applyBorder="1" applyAlignment="1">
      <alignment horizontal="left" vertical="center"/>
    </xf>
    <xf numFmtId="164" fontId="7" fillId="10" borderId="17" xfId="0" applyNumberFormat="1" applyFont="1" applyFill="1" applyBorder="1" applyAlignment="1">
      <alignment horizontal="center" vertical="center"/>
    </xf>
    <xf numFmtId="164" fontId="7" fillId="10" borderId="16" xfId="0" applyNumberFormat="1" applyFont="1" applyFill="1" applyBorder="1" applyAlignment="1">
      <alignment horizontal="center" vertical="center"/>
    </xf>
    <xf numFmtId="164" fontId="7" fillId="10" borderId="18" xfId="0" applyNumberFormat="1" applyFont="1" applyFill="1" applyBorder="1" applyAlignment="1">
      <alignment horizontal="center" vertical="center"/>
    </xf>
    <xf numFmtId="164" fontId="7" fillId="10" borderId="15" xfId="0" applyNumberFormat="1" applyFont="1" applyFill="1" applyBorder="1" applyAlignment="1">
      <alignment horizontal="center" vertical="center"/>
    </xf>
    <xf numFmtId="0" fontId="24" fillId="10" borderId="15" xfId="0" applyFont="1" applyFill="1" applyBorder="1" applyAlignment="1">
      <alignment horizontal="left" vertical="center"/>
    </xf>
    <xf numFmtId="168" fontId="24" fillId="10" borderId="15" xfId="0" applyNumberFormat="1" applyFont="1" applyFill="1" applyBorder="1" applyAlignment="1">
      <alignment horizontal="center" vertical="center"/>
    </xf>
    <xf numFmtId="2" fontId="24" fillId="10" borderId="16" xfId="0" applyNumberFormat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 wrapText="1"/>
    </xf>
    <xf numFmtId="0" fontId="27" fillId="14" borderId="12" xfId="0" applyFont="1" applyFill="1" applyBorder="1" applyAlignment="1">
      <alignment horizontal="left" vertical="center"/>
    </xf>
    <xf numFmtId="164" fontId="27" fillId="13" borderId="12" xfId="0" applyNumberFormat="1" applyFont="1" applyFill="1" applyBorder="1" applyAlignment="1">
      <alignment horizontal="center" vertical="center"/>
    </xf>
    <xf numFmtId="164" fontId="27" fillId="5" borderId="12" xfId="0" applyNumberFormat="1" applyFont="1" applyFill="1" applyBorder="1" applyAlignment="1">
      <alignment horizontal="center" vertical="center"/>
    </xf>
    <xf numFmtId="2" fontId="27" fillId="5" borderId="12" xfId="0" applyNumberFormat="1" applyFont="1" applyFill="1" applyBorder="1" applyAlignment="1">
      <alignment horizontal="center" vertical="center"/>
    </xf>
    <xf numFmtId="168" fontId="27" fillId="5" borderId="12" xfId="0" applyNumberFormat="1" applyFont="1" applyFill="1" applyBorder="1" applyAlignment="1">
      <alignment horizontal="center" vertical="center"/>
    </xf>
    <xf numFmtId="168" fontId="24" fillId="10" borderId="19" xfId="0" applyNumberFormat="1" applyFont="1" applyFill="1" applyBorder="1" applyAlignment="1">
      <alignment horizontal="center" vertical="center"/>
    </xf>
    <xf numFmtId="2" fontId="24" fillId="10" borderId="14" xfId="0" applyNumberFormat="1" applyFont="1" applyFill="1" applyBorder="1" applyAlignment="1">
      <alignment horizontal="center" vertical="center"/>
    </xf>
    <xf numFmtId="164" fontId="20" fillId="13" borderId="12" xfId="0" applyNumberFormat="1" applyFont="1" applyFill="1" applyBorder="1" applyAlignment="1">
      <alignment horizontal="center" vertical="center"/>
    </xf>
    <xf numFmtId="164" fontId="8" fillId="13" borderId="12" xfId="0" applyNumberFormat="1" applyFont="1" applyFill="1" applyBorder="1" applyAlignment="1">
      <alignment horizontal="center" vertical="center"/>
    </xf>
    <xf numFmtId="164" fontId="8" fillId="5" borderId="12" xfId="0" applyNumberFormat="1" applyFont="1" applyFill="1" applyBorder="1" applyAlignment="1">
      <alignment horizontal="center" vertical="center"/>
    </xf>
    <xf numFmtId="164" fontId="20" fillId="5" borderId="12" xfId="0" applyNumberFormat="1" applyFont="1" applyFill="1" applyBorder="1" applyAlignment="1">
      <alignment horizontal="center" vertical="center"/>
    </xf>
    <xf numFmtId="2" fontId="8" fillId="5" borderId="12" xfId="0" applyNumberFormat="1" applyFont="1" applyFill="1" applyBorder="1" applyAlignment="1">
      <alignment horizontal="center" vertical="center"/>
    </xf>
    <xf numFmtId="2" fontId="20" fillId="5" borderId="12" xfId="0" applyNumberFormat="1" applyFont="1" applyFill="1" applyBorder="1" applyAlignment="1">
      <alignment horizontal="center" vertical="center"/>
    </xf>
    <xf numFmtId="168" fontId="8" fillId="5" borderId="12" xfId="0" applyNumberFormat="1" applyFont="1" applyFill="1" applyBorder="1" applyAlignment="1">
      <alignment horizontal="center" vertical="center"/>
    </xf>
    <xf numFmtId="164" fontId="26" fillId="7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164" fontId="20" fillId="5" borderId="1" xfId="0" applyNumberFormat="1" applyFont="1" applyFill="1" applyBorder="1" applyAlignment="1">
      <alignment horizontal="center" vertical="center"/>
    </xf>
    <xf numFmtId="2" fontId="20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168" fontId="8" fillId="5" borderId="1" xfId="0" applyNumberFormat="1" applyFont="1" applyFill="1" applyBorder="1" applyAlignment="1">
      <alignment horizontal="center" vertical="center"/>
    </xf>
    <xf numFmtId="168" fontId="20" fillId="5" borderId="1" xfId="0" applyNumberFormat="1" applyFont="1" applyFill="1" applyBorder="1" applyAlignment="1">
      <alignment horizontal="center" vertical="center"/>
    </xf>
    <xf numFmtId="164" fontId="24" fillId="10" borderId="12" xfId="0" applyNumberFormat="1" applyFont="1" applyFill="1" applyBorder="1" applyAlignment="1">
      <alignment horizontal="center" vertical="center"/>
    </xf>
    <xf numFmtId="2" fontId="24" fillId="10" borderId="13" xfId="0" applyNumberFormat="1" applyFont="1" applyFill="1" applyBorder="1" applyAlignment="1">
      <alignment horizontal="center" vertical="center"/>
    </xf>
    <xf numFmtId="169" fontId="24" fillId="10" borderId="12" xfId="0" applyNumberFormat="1" applyFont="1" applyFill="1" applyBorder="1" applyAlignment="1">
      <alignment horizontal="center" vertical="center"/>
    </xf>
    <xf numFmtId="164" fontId="24" fillId="10" borderId="15" xfId="0" applyNumberFormat="1" applyFont="1" applyFill="1" applyBorder="1" applyAlignment="1">
      <alignment horizontal="center" vertical="center"/>
    </xf>
    <xf numFmtId="2" fontId="24" fillId="10" borderId="15" xfId="0" applyNumberFormat="1" applyFont="1" applyFill="1" applyBorder="1" applyAlignment="1">
      <alignment horizontal="center" vertical="center"/>
    </xf>
    <xf numFmtId="169" fontId="24" fillId="10" borderId="15" xfId="0" applyNumberFormat="1" applyFont="1" applyFill="1" applyBorder="1" applyAlignment="1">
      <alignment horizontal="center" vertical="center"/>
    </xf>
    <xf numFmtId="164" fontId="7" fillId="10" borderId="13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64" fontId="2" fillId="13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14" borderId="15" xfId="0" applyFont="1" applyFill="1" applyBorder="1" applyAlignment="1">
      <alignment horizontal="left" vertical="center"/>
    </xf>
    <xf numFmtId="164" fontId="4" fillId="13" borderId="15" xfId="0" applyNumberFormat="1" applyFont="1" applyFill="1" applyBorder="1" applyAlignment="1">
      <alignment horizontal="center" vertical="center"/>
    </xf>
    <xf numFmtId="164" fontId="4" fillId="5" borderId="15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168" fontId="4" fillId="5" borderId="15" xfId="0" applyNumberFormat="1" applyFont="1" applyFill="1" applyBorder="1" applyAlignment="1">
      <alignment horizontal="center" vertical="center"/>
    </xf>
    <xf numFmtId="3" fontId="4" fillId="8" borderId="15" xfId="0" applyNumberFormat="1" applyFont="1" applyFill="1" applyBorder="1" applyAlignment="1">
      <alignment horizontal="center" vertical="center" wrapText="1"/>
    </xf>
    <xf numFmtId="3" fontId="4" fillId="8" borderId="15" xfId="0" applyNumberFormat="1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left" vertical="center"/>
    </xf>
    <xf numFmtId="164" fontId="2" fillId="5" borderId="15" xfId="0" applyNumberFormat="1" applyFont="1" applyFill="1" applyBorder="1" applyAlignment="1">
      <alignment horizontal="center" vertical="center"/>
    </xf>
    <xf numFmtId="3" fontId="2" fillId="8" borderId="15" xfId="0" applyNumberFormat="1" applyFont="1" applyFill="1" applyBorder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169" fontId="4" fillId="5" borderId="15" xfId="0" applyNumberFormat="1" applyFont="1" applyFill="1" applyBorder="1" applyAlignment="1">
      <alignment horizontal="center" vertical="center"/>
    </xf>
    <xf numFmtId="169" fontId="2" fillId="5" borderId="15" xfId="0" applyNumberFormat="1" applyFont="1" applyFill="1" applyBorder="1" applyAlignment="1">
      <alignment horizontal="center" vertical="center"/>
    </xf>
    <xf numFmtId="169" fontId="2" fillId="6" borderId="0" xfId="0" applyNumberFormat="1" applyFont="1" applyFill="1" applyAlignment="1">
      <alignment horizontal="center" vertical="center"/>
    </xf>
    <xf numFmtId="2" fontId="2" fillId="5" borderId="15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26" fillId="2" borderId="15" xfId="0" applyFont="1" applyFill="1" applyBorder="1" applyAlignment="1">
      <alignment horizontal="center" vertical="center" wrapText="1"/>
    </xf>
    <xf numFmtId="0" fontId="27" fillId="14" borderId="15" xfId="0" applyFont="1" applyFill="1" applyBorder="1" applyAlignment="1">
      <alignment horizontal="left" vertical="center"/>
    </xf>
    <xf numFmtId="164" fontId="27" fillId="13" borderId="15" xfId="0" applyNumberFormat="1" applyFont="1" applyFill="1" applyBorder="1" applyAlignment="1">
      <alignment horizontal="center" vertical="center"/>
    </xf>
    <xf numFmtId="164" fontId="27" fillId="5" borderId="15" xfId="0" applyNumberFormat="1" applyFont="1" applyFill="1" applyBorder="1" applyAlignment="1">
      <alignment horizontal="center" vertical="center"/>
    </xf>
    <xf numFmtId="2" fontId="27" fillId="5" borderId="15" xfId="0" applyNumberFormat="1" applyFont="1" applyFill="1" applyBorder="1" applyAlignment="1">
      <alignment horizontal="center" vertical="center"/>
    </xf>
    <xf numFmtId="168" fontId="27" fillId="5" borderId="15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4" fillId="8" borderId="15" xfId="0" applyNumberFormat="1" applyFont="1" applyFill="1" applyBorder="1" applyAlignment="1">
      <alignment horizontal="center" vertical="center"/>
    </xf>
    <xf numFmtId="1" fontId="2" fillId="8" borderId="15" xfId="0" applyNumberFormat="1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168" fontId="1" fillId="6" borderId="0" xfId="0" applyNumberFormat="1" applyFont="1" applyFill="1" applyBorder="1" applyAlignment="1">
      <alignment horizontal="center" vertical="center"/>
    </xf>
    <xf numFmtId="169" fontId="1" fillId="6" borderId="0" xfId="0" applyNumberFormat="1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168" fontId="1" fillId="5" borderId="12" xfId="0" applyNumberFormat="1" applyFont="1" applyFill="1" applyBorder="1" applyAlignment="1">
      <alignment horizontal="center" vertical="center"/>
    </xf>
    <xf numFmtId="168" fontId="19" fillId="5" borderId="12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8" fontId="1" fillId="5" borderId="15" xfId="0" applyNumberFormat="1" applyFont="1" applyFill="1" applyBorder="1" applyAlignment="1">
      <alignment horizontal="center" vertical="center"/>
    </xf>
    <xf numFmtId="168" fontId="8" fillId="5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164" fontId="8" fillId="5" borderId="15" xfId="0" applyNumberFormat="1" applyFont="1" applyFill="1" applyBorder="1" applyAlignment="1">
      <alignment horizontal="center" vertical="center"/>
    </xf>
    <xf numFmtId="164" fontId="26" fillId="13" borderId="15" xfId="0" applyNumberFormat="1" applyFont="1" applyFill="1" applyBorder="1" applyAlignment="1">
      <alignment horizontal="center" vertical="center"/>
    </xf>
    <xf numFmtId="164" fontId="8" fillId="13" borderId="15" xfId="0" applyNumberFormat="1" applyFont="1" applyFill="1" applyBorder="1" applyAlignment="1">
      <alignment horizontal="center" vertical="center"/>
    </xf>
    <xf numFmtId="164" fontId="1" fillId="13" borderId="15" xfId="0" applyNumberFormat="1" applyFont="1" applyFill="1" applyBorder="1" applyAlignment="1">
      <alignment horizontal="center" vertical="center"/>
    </xf>
    <xf numFmtId="164" fontId="1" fillId="5" borderId="15" xfId="0" applyNumberFormat="1" applyFont="1" applyFill="1" applyBorder="1" applyAlignment="1">
      <alignment horizontal="center" vertical="center"/>
    </xf>
    <xf numFmtId="2" fontId="1" fillId="5" borderId="15" xfId="0" applyNumberFormat="1" applyFont="1" applyFill="1" applyBorder="1" applyAlignment="1">
      <alignment horizontal="center" vertical="center"/>
    </xf>
    <xf numFmtId="1" fontId="1" fillId="8" borderId="15" xfId="0" applyNumberFormat="1" applyFont="1" applyFill="1" applyBorder="1" applyAlignment="1">
      <alignment horizontal="center" vertical="center"/>
    </xf>
    <xf numFmtId="169" fontId="27" fillId="5" borderId="15" xfId="0" applyNumberFormat="1" applyFont="1" applyFill="1" applyBorder="1" applyAlignment="1">
      <alignment horizontal="center" vertical="center"/>
    </xf>
    <xf numFmtId="169" fontId="8" fillId="5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" fillId="14" borderId="15" xfId="0" applyFont="1" applyFill="1" applyBorder="1" applyAlignment="1">
      <alignment horizontal="left" vertical="center"/>
    </xf>
    <xf numFmtId="3" fontId="1" fillId="8" borderId="15" xfId="0" applyNumberFormat="1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17" fillId="14" borderId="15" xfId="0" applyFont="1" applyFill="1" applyBorder="1" applyAlignment="1">
      <alignment horizontal="left" vertical="center"/>
    </xf>
    <xf numFmtId="164" fontId="17" fillId="13" borderId="15" xfId="0" applyNumberFormat="1" applyFont="1" applyFill="1" applyBorder="1" applyAlignment="1">
      <alignment horizontal="center" vertical="center"/>
    </xf>
    <xf numFmtId="164" fontId="17" fillId="5" borderId="15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left" vertical="center"/>
    </xf>
    <xf numFmtId="164" fontId="1" fillId="6" borderId="0" xfId="0" applyNumberFormat="1" applyFont="1" applyFill="1" applyAlignment="1">
      <alignment horizontal="center" vertical="center"/>
    </xf>
    <xf numFmtId="168" fontId="17" fillId="5" borderId="15" xfId="0" applyNumberFormat="1" applyFont="1" applyFill="1" applyBorder="1" applyAlignment="1">
      <alignment horizontal="center" vertical="center"/>
    </xf>
    <xf numFmtId="2" fontId="17" fillId="5" borderId="15" xfId="0" applyNumberFormat="1" applyFont="1" applyFill="1" applyBorder="1" applyAlignment="1">
      <alignment horizontal="center" vertical="center"/>
    </xf>
    <xf numFmtId="2" fontId="1" fillId="6" borderId="0" xfId="0" applyNumberFormat="1" applyFont="1" applyFill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3" fontId="7" fillId="8" borderId="15" xfId="0" applyNumberFormat="1" applyFont="1" applyFill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68" fontId="20" fillId="5" borderId="15" xfId="0" applyNumberFormat="1" applyFont="1" applyFill="1" applyBorder="1" applyAlignment="1">
      <alignment horizontal="center" vertical="center"/>
    </xf>
    <xf numFmtId="164" fontId="20" fillId="13" borderId="15" xfId="0" applyNumberFormat="1" applyFont="1" applyFill="1" applyBorder="1" applyAlignment="1">
      <alignment horizontal="center" vertical="center"/>
    </xf>
    <xf numFmtId="164" fontId="20" fillId="5" borderId="15" xfId="0" applyNumberFormat="1" applyFont="1" applyFill="1" applyBorder="1" applyAlignment="1">
      <alignment horizontal="center" vertical="center"/>
    </xf>
    <xf numFmtId="2" fontId="20" fillId="5" borderId="15" xfId="0" applyNumberFormat="1" applyFont="1" applyFill="1" applyBorder="1" applyAlignment="1">
      <alignment horizontal="center" vertical="center"/>
    </xf>
    <xf numFmtId="168" fontId="4" fillId="5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6F30A303-0901-664D-8BCB-09ADB7DA1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0460-959C-A64D-BE6A-21DAB00B5FFE}">
  <dimension ref="A1:BP309"/>
  <sheetViews>
    <sheetView topLeftCell="AJ1" zoomScale="150" zoomScaleNormal="150" zoomScaleSheetLayoutView="100" workbookViewId="0">
      <pane ySplit="1" topLeftCell="AJ75" activePane="bottomLeft" state="frozen"/>
      <selection activeCell="BG1" sqref="BG1"/>
      <selection pane="bottomLeft" activeCell="AT91" sqref="AT91"/>
    </sheetView>
  </sheetViews>
  <sheetFormatPr defaultColWidth="8.875" defaultRowHeight="15" x14ac:dyDescent="0.2"/>
  <cols>
    <col min="1" max="1" width="2.28515625" style="17" customWidth="1"/>
    <col min="2" max="2" width="5.24609375" style="27" bestFit="1" customWidth="1"/>
    <col min="3" max="3" width="17.890625" style="31" bestFit="1" customWidth="1"/>
    <col min="4" max="4" width="7.80078125" style="29" bestFit="1" customWidth="1"/>
    <col min="5" max="10" width="6.9921875" style="62" bestFit="1" customWidth="1"/>
    <col min="11" max="11" width="6.859375" style="62" bestFit="1" customWidth="1"/>
    <col min="12" max="12" width="6.9921875" style="62" bestFit="1" customWidth="1"/>
    <col min="13" max="13" width="7.80078125" style="62" customWidth="1"/>
    <col min="14" max="14" width="6.9921875" style="62" bestFit="1" customWidth="1"/>
    <col min="15" max="15" width="6.859375" style="69" bestFit="1" customWidth="1"/>
    <col min="16" max="16" width="7.3984375" style="281" bestFit="1" customWidth="1"/>
    <col min="17" max="18" width="6.859375" style="52" bestFit="1" customWidth="1"/>
    <col min="19" max="20" width="5.78125" style="30" bestFit="1" customWidth="1"/>
    <col min="21" max="23" width="4.16796875" style="30" bestFit="1" customWidth="1"/>
    <col min="24" max="24" width="5.78125" style="30" bestFit="1" customWidth="1"/>
    <col min="25" max="25" width="5.78125" style="52" bestFit="1" customWidth="1"/>
    <col min="26" max="26" width="5.78125" style="30" bestFit="1" customWidth="1"/>
    <col min="27" max="27" width="5.78125" style="92" bestFit="1" customWidth="1"/>
    <col min="28" max="28" width="4.4375" style="30" bestFit="1" customWidth="1"/>
    <col min="29" max="30" width="4.16796875" style="30" bestFit="1" customWidth="1"/>
    <col min="31" max="31" width="2.28515625" style="17" customWidth="1"/>
    <col min="32" max="32" width="5.24609375" style="32" bestFit="1" customWidth="1"/>
    <col min="33" max="33" width="7.3984375" style="32" bestFit="1" customWidth="1"/>
    <col min="34" max="35" width="6.859375" style="32" bestFit="1" customWidth="1"/>
    <col min="36" max="36" width="7.3984375" style="32" bestFit="1" customWidth="1"/>
    <col min="37" max="37" width="7.3984375" style="33" bestFit="1" customWidth="1"/>
    <col min="38" max="38" width="7.3984375" style="17" bestFit="1" customWidth="1"/>
    <col min="39" max="39" width="7.3984375" style="33" bestFit="1" customWidth="1"/>
    <col min="40" max="40" width="2.28515625" style="17" customWidth="1"/>
    <col min="41" max="41" width="17.890625" style="31" bestFit="1" customWidth="1"/>
    <col min="42" max="47" width="6.859375" style="62" bestFit="1" customWidth="1"/>
    <col min="48" max="48" width="6.9921875" style="62" bestFit="1" customWidth="1"/>
    <col min="49" max="49" width="6.859375" style="62" bestFit="1" customWidth="1"/>
    <col min="50" max="50" width="7.80078125" style="62" bestFit="1" customWidth="1"/>
    <col min="51" max="51" width="6.859375" style="62" bestFit="1" customWidth="1"/>
    <col min="52" max="52" width="6.859375" style="69" bestFit="1" customWidth="1"/>
    <col min="53" max="53" width="6.45703125" style="282" bestFit="1" customWidth="1"/>
    <col min="54" max="54" width="2.6875" style="17" customWidth="1"/>
    <col min="55" max="55" width="17.3515625" style="31" bestFit="1" customWidth="1"/>
    <col min="56" max="56" width="6.9921875" style="62" bestFit="1" customWidth="1"/>
    <col min="57" max="57" width="6.859375" style="62" bestFit="1" customWidth="1"/>
    <col min="58" max="58" width="6.9921875" style="62" bestFit="1" customWidth="1"/>
    <col min="59" max="62" width="6.859375" style="62" bestFit="1" customWidth="1"/>
    <col min="63" max="63" width="6.9921875" style="62" bestFit="1" customWidth="1"/>
    <col min="64" max="64" width="7.80078125" style="62" bestFit="1" customWidth="1"/>
    <col min="65" max="65" width="6.859375" style="62" bestFit="1" customWidth="1"/>
    <col min="66" max="66" width="6.859375" style="69" bestFit="1" customWidth="1"/>
    <col min="67" max="67" width="6.859375" style="282" customWidth="1"/>
    <col min="68" max="68" width="2.6875" style="17" customWidth="1"/>
    <col min="69" max="16384" width="8.875" style="17"/>
  </cols>
  <sheetData>
    <row r="1" spans="1:68" s="27" customFormat="1" x14ac:dyDescent="0.2">
      <c r="A1" s="8"/>
      <c r="B1" s="3" t="s">
        <v>0</v>
      </c>
      <c r="C1" s="50" t="s">
        <v>330</v>
      </c>
      <c r="D1" s="25" t="s">
        <v>18</v>
      </c>
      <c r="E1" s="70" t="s">
        <v>12</v>
      </c>
      <c r="F1" s="70" t="s">
        <v>13</v>
      </c>
      <c r="G1" s="70" t="s">
        <v>287</v>
      </c>
      <c r="H1" s="70" t="s">
        <v>288</v>
      </c>
      <c r="I1" s="70" t="s">
        <v>14</v>
      </c>
      <c r="J1" s="70" t="s">
        <v>286</v>
      </c>
      <c r="K1" s="70" t="s">
        <v>289</v>
      </c>
      <c r="L1" s="70" t="s">
        <v>15</v>
      </c>
      <c r="M1" s="70" t="s">
        <v>290</v>
      </c>
      <c r="N1" s="56" t="s">
        <v>282</v>
      </c>
      <c r="O1" s="63" t="s">
        <v>291</v>
      </c>
      <c r="P1" s="317" t="s">
        <v>326</v>
      </c>
      <c r="Q1" s="18" t="s">
        <v>7</v>
      </c>
      <c r="R1" s="18" t="s">
        <v>8</v>
      </c>
      <c r="S1" s="18" t="s">
        <v>17</v>
      </c>
      <c r="T1" s="18" t="s">
        <v>6</v>
      </c>
      <c r="U1" s="18" t="s">
        <v>292</v>
      </c>
      <c r="V1" s="18" t="s">
        <v>293</v>
      </c>
      <c r="W1" s="18" t="s">
        <v>2</v>
      </c>
      <c r="X1" s="18" t="s">
        <v>3</v>
      </c>
      <c r="Y1" s="18" t="s">
        <v>9</v>
      </c>
      <c r="Z1" s="18" t="s">
        <v>4</v>
      </c>
      <c r="AA1" s="91" t="s">
        <v>5</v>
      </c>
      <c r="AB1" s="18" t="s">
        <v>11</v>
      </c>
      <c r="AC1" s="18" t="s">
        <v>16</v>
      </c>
      <c r="AD1" s="18" t="s">
        <v>10</v>
      </c>
      <c r="AE1" s="8"/>
      <c r="AF1" s="80" t="s">
        <v>0</v>
      </c>
      <c r="AG1" s="80" t="s">
        <v>294</v>
      </c>
      <c r="AH1" s="82" t="s">
        <v>277</v>
      </c>
      <c r="AI1" s="82" t="s">
        <v>278</v>
      </c>
      <c r="AJ1" s="81" t="s">
        <v>295</v>
      </c>
      <c r="AK1" s="95" t="s">
        <v>280</v>
      </c>
      <c r="AL1" s="5" t="s">
        <v>281</v>
      </c>
      <c r="AM1" s="4" t="s">
        <v>279</v>
      </c>
      <c r="AN1" s="8"/>
      <c r="AO1" s="144" t="s">
        <v>328</v>
      </c>
      <c r="AP1" s="145" t="s">
        <v>12</v>
      </c>
      <c r="AQ1" s="145" t="s">
        <v>13</v>
      </c>
      <c r="AR1" s="145" t="s">
        <v>287</v>
      </c>
      <c r="AS1" s="145" t="s">
        <v>288</v>
      </c>
      <c r="AT1" s="145" t="s">
        <v>14</v>
      </c>
      <c r="AU1" s="145" t="s">
        <v>286</v>
      </c>
      <c r="AV1" s="145" t="s">
        <v>289</v>
      </c>
      <c r="AW1" s="145" t="s">
        <v>15</v>
      </c>
      <c r="AX1" s="145" t="s">
        <v>290</v>
      </c>
      <c r="AY1" s="145" t="s">
        <v>282</v>
      </c>
      <c r="AZ1" s="160" t="s">
        <v>291</v>
      </c>
      <c r="BA1" s="176" t="s">
        <v>326</v>
      </c>
      <c r="BB1" s="8"/>
      <c r="BC1" s="148" t="s">
        <v>329</v>
      </c>
      <c r="BD1" s="149" t="s">
        <v>12</v>
      </c>
      <c r="BE1" s="149" t="s">
        <v>13</v>
      </c>
      <c r="BF1" s="149" t="s">
        <v>287</v>
      </c>
      <c r="BG1" s="149" t="s">
        <v>288</v>
      </c>
      <c r="BH1" s="149" t="s">
        <v>14</v>
      </c>
      <c r="BI1" s="149" t="s">
        <v>286</v>
      </c>
      <c r="BJ1" s="149" t="s">
        <v>289</v>
      </c>
      <c r="BK1" s="149" t="s">
        <v>15</v>
      </c>
      <c r="BL1" s="149" t="s">
        <v>290</v>
      </c>
      <c r="BM1" s="149" t="s">
        <v>282</v>
      </c>
      <c r="BN1" s="163" t="s">
        <v>291</v>
      </c>
      <c r="BO1" s="166" t="s">
        <v>326</v>
      </c>
      <c r="BP1" s="8"/>
    </row>
    <row r="2" spans="1:68" x14ac:dyDescent="0.2">
      <c r="A2" s="9"/>
      <c r="B2" s="3">
        <v>1936</v>
      </c>
      <c r="C2" s="51" t="s">
        <v>273</v>
      </c>
      <c r="D2" s="108">
        <v>0.95099999999999996</v>
      </c>
      <c r="E2" s="109">
        <f>(T2-W2)/(R2-W2-Z2+AD2)</f>
        <v>0.33925204274041482</v>
      </c>
      <c r="F2" s="109">
        <f>AA2/Q2</f>
        <v>0.54517221908526259</v>
      </c>
      <c r="G2" s="109">
        <f>(U2+V2+W2)/T2</f>
        <v>0.47198050817960319</v>
      </c>
      <c r="H2" s="109">
        <f>(AA2+X2)/Q2</f>
        <v>0.7535290796160361</v>
      </c>
      <c r="I2" s="109">
        <f>(AA2/R2)+((T2+Y2+AB2)/(R2+Y2+AB2+AD2))</f>
        <v>1.169532057475992</v>
      </c>
      <c r="J2" s="109">
        <f>W2/AA2</f>
        <v>0.12325220093215951</v>
      </c>
      <c r="K2" s="109">
        <f>(AC2+AD2)/AA2</f>
        <v>3.4179181771103052E-2</v>
      </c>
      <c r="L2" s="109">
        <f>Z2/Q2</f>
        <v>0.12516469038208169</v>
      </c>
      <c r="M2" s="109">
        <f>(Y2+AB2)/Q2</f>
        <v>0.19809900244682854</v>
      </c>
      <c r="N2" s="110">
        <f>(E2*0.7635+F2*0.7562+G2*0.75+H2*0.7248+I2*0.7021+J2*0.6285+1-K2*0.5884+1-L2*0.5276+M2*0.3663)/6.931</f>
        <v>0.64297065848814217</v>
      </c>
      <c r="O2" s="111">
        <f>N2/0.4956*100</f>
        <v>129.73580679744597</v>
      </c>
      <c r="P2" s="239">
        <f>(O2-100)/100*Q2*0.3389</f>
        <v>1070.8314227875208</v>
      </c>
      <c r="Q2" s="54">
        <v>10626</v>
      </c>
      <c r="R2" s="21">
        <f>Q2-Y2-AB2-AC2-AD2</f>
        <v>8323</v>
      </c>
      <c r="S2" s="19" t="s">
        <v>19</v>
      </c>
      <c r="T2" s="19">
        <v>2873</v>
      </c>
      <c r="U2" s="19">
        <v>506</v>
      </c>
      <c r="V2" s="19">
        <v>136</v>
      </c>
      <c r="W2" s="19">
        <v>714</v>
      </c>
      <c r="X2" s="19">
        <v>2214</v>
      </c>
      <c r="Y2" s="54">
        <v>2062</v>
      </c>
      <c r="Z2" s="19">
        <v>1330</v>
      </c>
      <c r="AA2" s="54">
        <f>T2+U2+V2*2+W2*3</f>
        <v>5793</v>
      </c>
      <c r="AB2" s="19">
        <v>43</v>
      </c>
      <c r="AC2" s="19">
        <v>113</v>
      </c>
      <c r="AD2" s="21">
        <v>85</v>
      </c>
      <c r="AE2" s="9"/>
      <c r="AF2" s="6">
        <v>2021</v>
      </c>
      <c r="AG2" s="77">
        <v>4.1705438523717164E-2</v>
      </c>
      <c r="AH2" s="83">
        <v>0.51462513627365003</v>
      </c>
      <c r="AI2" s="84">
        <v>0.4908866263541139</v>
      </c>
      <c r="AJ2" s="76">
        <v>3.587564604190724E-3</v>
      </c>
      <c r="AK2" s="41">
        <v>1.159E-2</v>
      </c>
      <c r="AL2" s="42">
        <v>4.1817549917598125E-3</v>
      </c>
      <c r="AM2" s="78">
        <v>6.2100000000000002E-3</v>
      </c>
      <c r="AN2" s="9"/>
      <c r="AO2" s="146" t="s">
        <v>87</v>
      </c>
      <c r="AP2" s="147">
        <v>0.26916753848453145</v>
      </c>
      <c r="AQ2" s="154">
        <v>0.2545736434108527</v>
      </c>
      <c r="AR2" s="147">
        <v>0.27427988784093804</v>
      </c>
      <c r="AS2" s="147">
        <v>0.35105204872646734</v>
      </c>
      <c r="AT2" s="147">
        <v>0.60559607343458044</v>
      </c>
      <c r="AU2" s="147">
        <v>5.5855228815033929E-2</v>
      </c>
      <c r="AV2" s="147">
        <v>6.1075343657560469E-2</v>
      </c>
      <c r="AW2" s="147">
        <v>0.25311184939091919</v>
      </c>
      <c r="AX2" s="147">
        <v>0.13080841638981175</v>
      </c>
      <c r="AY2" s="147">
        <v>0.52431324186633799</v>
      </c>
      <c r="AZ2" s="162">
        <v>104.77882531301719</v>
      </c>
      <c r="BA2" s="178">
        <v>713.20777930885185</v>
      </c>
      <c r="BB2" s="9"/>
      <c r="BC2" s="150" t="s">
        <v>273</v>
      </c>
      <c r="BD2" s="151">
        <v>0.33925204274041482</v>
      </c>
      <c r="BE2" s="151">
        <v>0.54517221908526259</v>
      </c>
      <c r="BF2" s="151">
        <v>0.47198050817960319</v>
      </c>
      <c r="BG2" s="151">
        <v>0.7535290796160361</v>
      </c>
      <c r="BH2" s="151">
        <v>1.169532057475992</v>
      </c>
      <c r="BI2" s="151">
        <v>0.12325220093215951</v>
      </c>
      <c r="BJ2" s="151">
        <v>3.4179181771103052E-2</v>
      </c>
      <c r="BK2" s="151">
        <v>0.12516469038208169</v>
      </c>
      <c r="BL2" s="151">
        <v>0.19809900244682854</v>
      </c>
      <c r="BM2" s="151">
        <v>0.64297065848814217</v>
      </c>
      <c r="BN2" s="165">
        <v>129.73580679744597</v>
      </c>
      <c r="BO2" s="167">
        <v>1070.8314227875208</v>
      </c>
      <c r="BP2" s="9"/>
    </row>
    <row r="3" spans="1:68" x14ac:dyDescent="0.2">
      <c r="A3" s="9"/>
      <c r="B3" s="3">
        <v>1982</v>
      </c>
      <c r="C3" s="51" t="s">
        <v>136</v>
      </c>
      <c r="D3" s="26">
        <v>0.97799999999999998</v>
      </c>
      <c r="E3" s="71">
        <f>(T3-W3)/(R3-W3-Z3+AD3)</f>
        <v>0.29145728643216079</v>
      </c>
      <c r="F3" s="71">
        <f>AA3/Q3</f>
        <v>0.49178681586686751</v>
      </c>
      <c r="G3" s="71">
        <f>(U3+V3+W3)/T3</f>
        <v>0.39167329620790242</v>
      </c>
      <c r="H3" s="71">
        <f>(AA3+X3)/Q3</f>
        <v>0.65655261459005809</v>
      </c>
      <c r="I3" s="71">
        <f>(AA3/R3)+((T3+Y3+AB3)/(R3+Y3+AB3+AD3))</f>
        <v>0.9235456300829864</v>
      </c>
      <c r="J3" s="71">
        <f>W3/AA3</f>
        <v>0.11012252042007001</v>
      </c>
      <c r="K3" s="128">
        <f>(AC3+AD3)/AA3</f>
        <v>4.8133022170361731E-3</v>
      </c>
      <c r="L3" s="71">
        <f>Z3/Q3</f>
        <v>9.9203787389713791E-2</v>
      </c>
      <c r="M3" s="71">
        <f>(Y3+AB3)/Q3</f>
        <v>0.10286206154508284</v>
      </c>
      <c r="N3" s="57">
        <f>(E3*0.7635+F3*0.7562+G3*0.75+H3*0.7248+I3*0.7021+J3*0.6285+1-K3*0.5884+1-L3*0.5276+M3*0.3663)/6.931</f>
        <v>0.58637726654425137</v>
      </c>
      <c r="O3" s="64">
        <f>N3/0.4974*100</f>
        <v>117.88847337037622</v>
      </c>
      <c r="P3" s="155">
        <f>(O3-100)/100*Q3*0.3389</f>
        <v>845.15968939198979</v>
      </c>
      <c r="Q3" s="54">
        <v>13941</v>
      </c>
      <c r="R3" s="54">
        <f>Q3-Y3-AB3-AC3-AD3</f>
        <v>12474</v>
      </c>
      <c r="S3" s="20" t="s">
        <v>19</v>
      </c>
      <c r="T3" s="19">
        <v>3771</v>
      </c>
      <c r="U3" s="19">
        <v>624</v>
      </c>
      <c r="V3" s="19">
        <v>98</v>
      </c>
      <c r="W3" s="19">
        <v>755</v>
      </c>
      <c r="X3" s="19">
        <v>2297</v>
      </c>
      <c r="Y3" s="54">
        <v>1402</v>
      </c>
      <c r="Z3" s="19">
        <v>1383</v>
      </c>
      <c r="AA3" s="54">
        <f>T3+U3+V3*2+W3*3</f>
        <v>6856</v>
      </c>
      <c r="AB3" s="19">
        <v>32</v>
      </c>
      <c r="AC3" s="19">
        <v>21</v>
      </c>
      <c r="AD3" s="19">
        <v>12</v>
      </c>
      <c r="AE3" s="9"/>
      <c r="AF3" s="6">
        <v>2020</v>
      </c>
      <c r="AG3" s="77">
        <v>4.2447297988151445E-2</v>
      </c>
      <c r="AH3" s="85">
        <v>0.52340473419247957</v>
      </c>
      <c r="AI3" s="86">
        <v>0.48538866889337956</v>
      </c>
      <c r="AJ3" s="76">
        <v>3.6237331970047815E-3</v>
      </c>
      <c r="AK3" s="41">
        <v>1.234E-2</v>
      </c>
      <c r="AL3" s="42">
        <v>1.894565903828226E-3</v>
      </c>
      <c r="AM3" s="78">
        <v>6.0400000000000002E-3</v>
      </c>
      <c r="AN3" s="9"/>
      <c r="AO3" s="146" t="s">
        <v>44</v>
      </c>
      <c r="AP3" s="147">
        <v>0.28606005102374565</v>
      </c>
      <c r="AQ3" s="147">
        <v>0.33152147299348711</v>
      </c>
      <c r="AR3" s="147">
        <v>0.26534066864155736</v>
      </c>
      <c r="AS3" s="147">
        <v>0.42852945497282208</v>
      </c>
      <c r="AT3" s="147">
        <v>0.64931417536537317</v>
      </c>
      <c r="AU3" s="147">
        <v>5.2141802067946823E-2</v>
      </c>
      <c r="AV3" s="147">
        <v>5.8050221565731169E-2</v>
      </c>
      <c r="AW3" s="147">
        <v>0.16507516771950442</v>
      </c>
      <c r="AX3" s="147">
        <v>5.562900935311689E-2</v>
      </c>
      <c r="AY3" s="147">
        <v>0.50899095232458735</v>
      </c>
      <c r="AZ3" s="162">
        <v>103.91812011526895</v>
      </c>
      <c r="BA3" s="177">
        <v>528.95887500740048</v>
      </c>
      <c r="BB3" s="9"/>
      <c r="BC3" s="150" t="s">
        <v>136</v>
      </c>
      <c r="BD3" s="151">
        <v>0.29145728643216079</v>
      </c>
      <c r="BE3" s="151">
        <v>0.49178681586686751</v>
      </c>
      <c r="BF3" s="151">
        <v>0.39167329620790242</v>
      </c>
      <c r="BG3" s="151">
        <v>0.65655261459005809</v>
      </c>
      <c r="BH3" s="151">
        <v>0.9235456300829864</v>
      </c>
      <c r="BI3" s="151">
        <v>0.11012252042007001</v>
      </c>
      <c r="BJ3" s="153">
        <v>4.8133022170361731E-3</v>
      </c>
      <c r="BK3" s="151">
        <v>9.9203787389713791E-2</v>
      </c>
      <c r="BL3" s="151">
        <v>0.10286206154508284</v>
      </c>
      <c r="BM3" s="151">
        <v>0.58637726654425137</v>
      </c>
      <c r="BN3" s="165">
        <v>117.88847337037622</v>
      </c>
      <c r="BO3" s="168">
        <v>845.15968939198979</v>
      </c>
      <c r="BP3" s="9"/>
    </row>
    <row r="4" spans="1:68" x14ac:dyDescent="0.2">
      <c r="A4" s="9"/>
      <c r="B4" s="3">
        <v>1966</v>
      </c>
      <c r="C4" s="51" t="s">
        <v>196</v>
      </c>
      <c r="D4" s="26">
        <v>0.93400000000000005</v>
      </c>
      <c r="E4" s="71">
        <f>(T4-W4)/(R4-W4-Z4+AD4)</f>
        <v>0.32830537171002</v>
      </c>
      <c r="F4" s="71">
        <f>AA4/Q4</f>
        <v>0.49877450980392157</v>
      </c>
      <c r="G4" s="71">
        <f>(U4+V4+W4)/T4</f>
        <v>0.42087415222305952</v>
      </c>
      <c r="H4" s="71">
        <f>(AA4+X4)/Q4</f>
        <v>0.68658088235294112</v>
      </c>
      <c r="I4" s="71">
        <f>(AA4/R4)+((T4+Y4+AB4)/(R4+Y4+AB4+AD4))</f>
        <v>1.1187582221911105</v>
      </c>
      <c r="J4" s="71">
        <f>W4/AA4</f>
        <v>0.10667485667485667</v>
      </c>
      <c r="K4" s="71">
        <f>(AC4+AD4)/AA4</f>
        <v>1.3513513513513514E-2</v>
      </c>
      <c r="L4" s="71">
        <f>Z4/Q4</f>
        <v>7.2406045751633993E-2</v>
      </c>
      <c r="M4" s="128">
        <f>(Y4+AB4)/Q4</f>
        <v>0.21037581699346405</v>
      </c>
      <c r="N4" s="57">
        <f>(E4*0.7635+F4*0.7562+G4*0.75+H4*0.7248+I4*0.7021+J4*0.6285+1-K4*0.5884+1-L4*0.5276+M4*0.3663)/6.931</f>
        <v>0.62394417100077193</v>
      </c>
      <c r="O4" s="64">
        <f>N4/0.5027*100</f>
        <v>124.11859379366857</v>
      </c>
      <c r="P4" s="155">
        <f>(O4-100)/100*Q4*0.3389</f>
        <v>800.37765747914523</v>
      </c>
      <c r="Q4" s="54">
        <v>9792</v>
      </c>
      <c r="R4" s="21">
        <f>Q4-Y4-AB4-AC4-AD4</f>
        <v>7666</v>
      </c>
      <c r="S4" s="20" t="s">
        <v>19</v>
      </c>
      <c r="T4" s="19">
        <v>2654</v>
      </c>
      <c r="U4" s="19">
        <v>525</v>
      </c>
      <c r="V4" s="19">
        <v>71</v>
      </c>
      <c r="W4" s="19">
        <v>521</v>
      </c>
      <c r="X4" s="19">
        <v>1839</v>
      </c>
      <c r="Y4" s="54">
        <v>2021</v>
      </c>
      <c r="Z4" s="19">
        <v>709</v>
      </c>
      <c r="AA4" s="54">
        <f>T4+U4+V4*2+W4*3</f>
        <v>4884</v>
      </c>
      <c r="AB4" s="19">
        <v>39</v>
      </c>
      <c r="AC4" s="19">
        <v>5</v>
      </c>
      <c r="AD4" s="21">
        <v>61</v>
      </c>
      <c r="AE4" s="9"/>
      <c r="AF4" s="6">
        <v>2019</v>
      </c>
      <c r="AG4" s="77">
        <v>4.5738458156629157E-2</v>
      </c>
      <c r="AH4" s="85">
        <v>0.5290120825928688</v>
      </c>
      <c r="AI4" s="86">
        <v>0.48187723667770382</v>
      </c>
      <c r="AJ4" s="76">
        <v>4.2087316437643754E-3</v>
      </c>
      <c r="AK4" s="41">
        <v>1.064E-2</v>
      </c>
      <c r="AL4" s="42">
        <v>4.1604786695046561E-3</v>
      </c>
      <c r="AM4" s="78">
        <v>6.1700000000000001E-3</v>
      </c>
      <c r="AN4" s="9"/>
      <c r="AO4" s="146" t="s">
        <v>276</v>
      </c>
      <c r="AP4" s="147">
        <v>0.2711864406779661</v>
      </c>
      <c r="AQ4" s="147">
        <v>0.27691650651291905</v>
      </c>
      <c r="AR4" s="147">
        <v>0.22939141054345613</v>
      </c>
      <c r="AS4" s="147">
        <v>0.35814648729446935</v>
      </c>
      <c r="AT4" s="147">
        <v>0.58719059440721988</v>
      </c>
      <c r="AU4" s="147">
        <v>1.4959901295496607E-2</v>
      </c>
      <c r="AV4" s="147">
        <v>8.6212214682294883E-2</v>
      </c>
      <c r="AW4" s="147">
        <v>0.14986120008541534</v>
      </c>
      <c r="AX4" s="147">
        <v>6.6965620328849035E-2</v>
      </c>
      <c r="AY4" s="147">
        <v>0.52724182089617111</v>
      </c>
      <c r="AZ4" s="162">
        <v>102.77618341055967</v>
      </c>
      <c r="BA4" s="177">
        <v>429.74365576462128</v>
      </c>
      <c r="BB4" s="9"/>
      <c r="BC4" s="150" t="s">
        <v>196</v>
      </c>
      <c r="BD4" s="151">
        <v>0.32830537171002</v>
      </c>
      <c r="BE4" s="151">
        <v>0.49877450980392157</v>
      </c>
      <c r="BF4" s="151">
        <v>0.42087415222305952</v>
      </c>
      <c r="BG4" s="151">
        <v>0.68658088235294112</v>
      </c>
      <c r="BH4" s="151">
        <v>1.1187582221911105</v>
      </c>
      <c r="BI4" s="151">
        <v>0.10667485667485667</v>
      </c>
      <c r="BJ4" s="151">
        <v>1.3513513513513514E-2</v>
      </c>
      <c r="BK4" s="151">
        <v>7.2406045751633993E-2</v>
      </c>
      <c r="BL4" s="153">
        <v>0.21037581699346405</v>
      </c>
      <c r="BM4" s="151">
        <v>0.62394417100077193</v>
      </c>
      <c r="BN4" s="165">
        <v>124.11859379366857</v>
      </c>
      <c r="BO4" s="168">
        <v>800.37765747914523</v>
      </c>
      <c r="BP4" s="9"/>
    </row>
    <row r="5" spans="1:68" x14ac:dyDescent="0.2">
      <c r="A5" s="9"/>
      <c r="B5" s="3">
        <v>1936</v>
      </c>
      <c r="C5" s="51" t="s">
        <v>272</v>
      </c>
      <c r="D5" s="108">
        <v>0.98199999999999998</v>
      </c>
      <c r="E5" s="109">
        <f>(T5-W5)/(R5-W5-Z5+AD5)</f>
        <v>0.38159497704057727</v>
      </c>
      <c r="F5" s="109">
        <f>AA5/Q5</f>
        <v>0.44676791574448599</v>
      </c>
      <c r="G5" s="109">
        <f>(U5+V5+W5)/T5</f>
        <v>0.2711864406779661</v>
      </c>
      <c r="H5" s="109">
        <f>(AA5+X5)/Q5</f>
        <v>0.59513088605662823</v>
      </c>
      <c r="I5" s="109">
        <f>(AA5/R5)+((T5+Y5+AB5)/(R5+Y5+AB5+AD5))</f>
        <v>0.94695192343806756</v>
      </c>
      <c r="J5" s="109">
        <f>W5/AA5</f>
        <v>1.9986334130509053E-2</v>
      </c>
      <c r="K5" s="109">
        <f>(AC5+AD5)/AA5</f>
        <v>6.7646053980184487E-2</v>
      </c>
      <c r="L5" s="109">
        <f>Z5/Q5</f>
        <v>5.1896512249103258E-2</v>
      </c>
      <c r="M5" s="109">
        <f>(Y5+AB5)/Q5</f>
        <v>0.10249561169197893</v>
      </c>
      <c r="N5" s="110">
        <f>(E5*0.7635+F5*0.7562+G5*0.75+H5*0.7248+I5*0.7021+J5*0.6285+1-K5*0.5884+1-L5*0.5276+M5*0.3663)/6.931</f>
        <v>0.56437906803691762</v>
      </c>
      <c r="O5" s="111">
        <f>N5/0.4787*100</f>
        <v>117.89828035030658</v>
      </c>
      <c r="P5" s="155">
        <f>(O5-100)/100*Q5*0.3389</f>
        <v>794.79223642049726</v>
      </c>
      <c r="Q5" s="54">
        <v>13103</v>
      </c>
      <c r="R5" s="21">
        <f>Q5-Y5-AB5-AC5-AD5</f>
        <v>11364</v>
      </c>
      <c r="S5" s="19" t="s">
        <v>19</v>
      </c>
      <c r="T5" s="19">
        <v>4189</v>
      </c>
      <c r="U5" s="19">
        <v>724</v>
      </c>
      <c r="V5" s="19">
        <v>295</v>
      </c>
      <c r="W5" s="19">
        <v>117</v>
      </c>
      <c r="X5" s="19">
        <v>1944</v>
      </c>
      <c r="Y5" s="54">
        <v>1249</v>
      </c>
      <c r="Z5" s="19">
        <v>680</v>
      </c>
      <c r="AA5" s="54">
        <f>T5+U5+V5*2+W5*3</f>
        <v>5854</v>
      </c>
      <c r="AB5" s="19">
        <v>94</v>
      </c>
      <c r="AC5" s="19">
        <v>292</v>
      </c>
      <c r="AD5" s="21">
        <v>104</v>
      </c>
      <c r="AE5" s="9"/>
      <c r="AF5" s="6">
        <v>2018</v>
      </c>
      <c r="AG5" s="77">
        <v>4.4636732401060822E-2</v>
      </c>
      <c r="AH5" s="85">
        <v>0.51638189990365269</v>
      </c>
      <c r="AI5" s="86">
        <v>0.48978650630355836</v>
      </c>
      <c r="AJ5" s="76">
        <v>4.5749409902829767E-3</v>
      </c>
      <c r="AK5" s="41">
        <v>1.038E-2</v>
      </c>
      <c r="AL5" s="42">
        <v>4.4453086599797994E-3</v>
      </c>
      <c r="AM5" s="78">
        <v>6.6699999999999997E-3</v>
      </c>
      <c r="AN5" s="9"/>
      <c r="AO5" s="146" t="s">
        <v>40</v>
      </c>
      <c r="AP5" s="147">
        <v>0.29458998293686639</v>
      </c>
      <c r="AQ5" s="147">
        <v>0.31376340305853401</v>
      </c>
      <c r="AR5" s="147">
        <v>0.33741781231320978</v>
      </c>
      <c r="AS5" s="147">
        <v>0.4135466104177653</v>
      </c>
      <c r="AT5" s="147">
        <v>0.65040979979883917</v>
      </c>
      <c r="AU5" s="147">
        <v>7.675070028011205E-2</v>
      </c>
      <c r="AV5" s="147">
        <v>4.1083099906629318E-2</v>
      </c>
      <c r="AW5" s="154">
        <v>0.28563895236421166</v>
      </c>
      <c r="AX5" s="147">
        <v>9.8845725669420514E-2</v>
      </c>
      <c r="AY5" s="147">
        <v>0.50766077001662724</v>
      </c>
      <c r="AZ5" s="162">
        <v>103.7100653762262</v>
      </c>
      <c r="BA5" s="177">
        <v>418.60644266548314</v>
      </c>
      <c r="BB5" s="9"/>
      <c r="BC5" s="150" t="s">
        <v>272</v>
      </c>
      <c r="BD5" s="151">
        <v>0.38159497704057727</v>
      </c>
      <c r="BE5" s="151">
        <v>0.44676791574448599</v>
      </c>
      <c r="BF5" s="151">
        <v>0.2711864406779661</v>
      </c>
      <c r="BG5" s="151">
        <v>0.59513088605662823</v>
      </c>
      <c r="BH5" s="151">
        <v>0.94695192343806756</v>
      </c>
      <c r="BI5" s="151">
        <v>1.9986334130509053E-2</v>
      </c>
      <c r="BJ5" s="151">
        <v>6.7646053980184487E-2</v>
      </c>
      <c r="BK5" s="151">
        <v>5.1896512249103258E-2</v>
      </c>
      <c r="BL5" s="151">
        <v>0.10249561169197893</v>
      </c>
      <c r="BM5" s="151">
        <v>0.56437906803691762</v>
      </c>
      <c r="BN5" s="165">
        <v>117.89828035030658</v>
      </c>
      <c r="BO5" s="168">
        <v>794.79223642049726</v>
      </c>
      <c r="BP5" s="9"/>
    </row>
    <row r="6" spans="1:68" x14ac:dyDescent="0.2">
      <c r="A6" s="9"/>
      <c r="B6" s="3">
        <v>1969</v>
      </c>
      <c r="C6" s="51" t="s">
        <v>187</v>
      </c>
      <c r="D6" s="26">
        <v>0.93200000000000005</v>
      </c>
      <c r="E6" s="71">
        <f>(T6-W6)/(R6-W6-Z6+AD6)</f>
        <v>0.31988238872553992</v>
      </c>
      <c r="F6" s="71">
        <f>AA6/Q6</f>
        <v>0.48219479600660325</v>
      </c>
      <c r="G6" s="71">
        <f>(U6+V6+W6)/T6</f>
        <v>0.37933884297520659</v>
      </c>
      <c r="H6" s="71">
        <f>(AA6+X6)/Q6</f>
        <v>0.63556324188349977</v>
      </c>
      <c r="I6" s="71">
        <f>(AA6/R6)+((T6+Y6+AB6)/(R6+Y6+AB6+AD6))</f>
        <v>0.97711045113560757</v>
      </c>
      <c r="J6" s="71">
        <f>W6/AA6</f>
        <v>7.7437235083143138E-2</v>
      </c>
      <c r="K6" s="71">
        <f>(AC6+AD6)/AA6</f>
        <v>2.1193348549070755E-2</v>
      </c>
      <c r="L6" s="71">
        <f>Z6/Q6</f>
        <v>5.4712679820768807E-2</v>
      </c>
      <c r="M6" s="71">
        <f>(Y6+AB6)/Q6</f>
        <v>0.12986400440216964</v>
      </c>
      <c r="N6" s="57">
        <f>(E6*0.7635+F6*0.7562+G6*0.75+H6*0.7248+I6*0.7021+J6*0.6285+1-K6*0.5884+1-L6*0.5276+M6*0.3663)/6.931</f>
        <v>0.5908176940016705</v>
      </c>
      <c r="O6" s="64">
        <f>N6/0.4997*100</f>
        <v>118.23447948802692</v>
      </c>
      <c r="P6" s="155">
        <f>(O6-100)/100*Q6*0.3389</f>
        <v>786.11519717920839</v>
      </c>
      <c r="Q6" s="54">
        <v>12721</v>
      </c>
      <c r="R6" s="21">
        <f>Q6-Y6-AB6-AC6-AD6</f>
        <v>10939</v>
      </c>
      <c r="S6" s="20" t="s">
        <v>19</v>
      </c>
      <c r="T6" s="19">
        <v>3630</v>
      </c>
      <c r="U6" s="19">
        <v>725</v>
      </c>
      <c r="V6" s="19">
        <v>177</v>
      </c>
      <c r="W6" s="19">
        <v>475</v>
      </c>
      <c r="X6" s="19">
        <v>1951</v>
      </c>
      <c r="Y6" s="54">
        <v>1599</v>
      </c>
      <c r="Z6" s="19">
        <v>696</v>
      </c>
      <c r="AA6" s="54">
        <f>T6+U6+V6*2+W6*3</f>
        <v>6134</v>
      </c>
      <c r="AB6" s="19">
        <v>53</v>
      </c>
      <c r="AC6" s="19">
        <v>35</v>
      </c>
      <c r="AD6" s="21">
        <v>95</v>
      </c>
      <c r="AE6" s="9"/>
      <c r="AF6" s="6">
        <v>2017</v>
      </c>
      <c r="AG6" s="77">
        <v>4.5316927062252085E-2</v>
      </c>
      <c r="AH6" s="85">
        <v>0.52414274576387099</v>
      </c>
      <c r="AI6" s="86">
        <v>0.48492651148451477</v>
      </c>
      <c r="AJ6" s="76">
        <v>4.290455759734477E-3</v>
      </c>
      <c r="AK6" s="41">
        <v>9.5099999999999994E-3</v>
      </c>
      <c r="AL6" s="42">
        <v>4.9920397204457753E-3</v>
      </c>
      <c r="AM6" s="78">
        <v>6.3E-3</v>
      </c>
      <c r="AN6" s="9"/>
      <c r="AO6" s="146" t="s">
        <v>41</v>
      </c>
      <c r="AP6" s="147">
        <v>0.28209507543410189</v>
      </c>
      <c r="AQ6" s="147">
        <v>0.30621379673512372</v>
      </c>
      <c r="AR6" s="147">
        <v>0.33138226024313372</v>
      </c>
      <c r="AS6" s="147">
        <v>0.39450588028787081</v>
      </c>
      <c r="AT6" s="147">
        <v>0.61270119437085691</v>
      </c>
      <c r="AU6" s="147">
        <v>6.8501003152765833E-2</v>
      </c>
      <c r="AV6" s="147">
        <v>3.926626540556033E-2</v>
      </c>
      <c r="AW6" s="147">
        <v>0.27681235738107773</v>
      </c>
      <c r="AX6" s="147">
        <v>7.907670703879234E-2</v>
      </c>
      <c r="AY6" s="147">
        <v>0.51369183800878671</v>
      </c>
      <c r="AZ6" s="162">
        <v>105.45921535799359</v>
      </c>
      <c r="BA6" s="177">
        <v>411.21940390493961</v>
      </c>
      <c r="BB6" s="9"/>
      <c r="BC6" s="150" t="s">
        <v>187</v>
      </c>
      <c r="BD6" s="151">
        <v>0.31988238872553992</v>
      </c>
      <c r="BE6" s="151">
        <v>0.48219479600660325</v>
      </c>
      <c r="BF6" s="151">
        <v>0.37933884297520659</v>
      </c>
      <c r="BG6" s="151">
        <v>0.63556324188349977</v>
      </c>
      <c r="BH6" s="151">
        <v>0.97711045113560757</v>
      </c>
      <c r="BI6" s="151">
        <v>7.7437235083143138E-2</v>
      </c>
      <c r="BJ6" s="151">
        <v>2.1193348549070755E-2</v>
      </c>
      <c r="BK6" s="151">
        <v>5.4712679820768807E-2</v>
      </c>
      <c r="BL6" s="151">
        <v>0.12986400440216964</v>
      </c>
      <c r="BM6" s="151">
        <v>0.5908176940016705</v>
      </c>
      <c r="BN6" s="165">
        <v>118.23447948802692</v>
      </c>
      <c r="BO6" s="168">
        <v>786.11519717920839</v>
      </c>
      <c r="BP6" s="9"/>
    </row>
    <row r="7" spans="1:68" x14ac:dyDescent="0.2">
      <c r="A7" s="9"/>
      <c r="B7" s="3">
        <v>1939</v>
      </c>
      <c r="C7" s="51" t="s">
        <v>266</v>
      </c>
      <c r="D7" s="26" t="s">
        <v>19</v>
      </c>
      <c r="E7" s="71">
        <f>(T7-W7)/(R7-W7-Z7+AD7)</f>
        <v>0.3313996727651346</v>
      </c>
      <c r="F7" s="71">
        <f>AA7/Q7</f>
        <v>0.52353854112778064</v>
      </c>
      <c r="G7" s="71">
        <f>(U7+V7+W7)/T7</f>
        <v>0.43733921352443955</v>
      </c>
      <c r="H7" s="71">
        <f>(AA7+X7)/Q7</f>
        <v>0.72995344024831865</v>
      </c>
      <c r="I7" s="71">
        <f>(AA7/R7)+((T7+Y7+AB7)/(R7+Y7+AB7+AD7))</f>
        <v>1.085120673286962</v>
      </c>
      <c r="J7" s="71">
        <f>W7/AA7</f>
        <v>9.7430830039525698E-2</v>
      </c>
      <c r="K7" s="71">
        <f>(AC7+AD7)/AA7</f>
        <v>3.5770750988142294E-2</v>
      </c>
      <c r="L7" s="71">
        <f>Z7/Q7</f>
        <v>8.1738230729436104E-2</v>
      </c>
      <c r="M7" s="71">
        <f>(Y7+AB7)/Q7</f>
        <v>0.16068287635799275</v>
      </c>
      <c r="N7" s="57">
        <f>(E7*0.7635+F7*0.7562+G7*0.75+H7*0.7248+I7*0.7021+J7*0.6285+1-K7*0.5884+1-L7*0.5276+M7*0.3663)/6.931</f>
        <v>0.62383237587398599</v>
      </c>
      <c r="O7" s="64">
        <f>N7/0.5073*100</f>
        <v>122.971097156315</v>
      </c>
      <c r="P7" s="155">
        <f>(O7-100)/100*Q7*0.3389</f>
        <v>752.41105145949336</v>
      </c>
      <c r="Q7" s="54">
        <v>9665</v>
      </c>
      <c r="R7" s="21">
        <f>Q7-Y7-AB7-AC7-AD7</f>
        <v>7931</v>
      </c>
      <c r="S7" s="19" t="s">
        <v>19</v>
      </c>
      <c r="T7" s="19">
        <v>2721</v>
      </c>
      <c r="U7" s="19">
        <v>534</v>
      </c>
      <c r="V7" s="19">
        <v>163</v>
      </c>
      <c r="W7" s="19">
        <v>493</v>
      </c>
      <c r="X7" s="19">
        <v>1995</v>
      </c>
      <c r="Y7" s="54">
        <v>1508</v>
      </c>
      <c r="Z7" s="19">
        <v>790</v>
      </c>
      <c r="AA7" s="54">
        <f>T7+U7+V7*2+W7*3</f>
        <v>5060</v>
      </c>
      <c r="AB7" s="19">
        <v>45</v>
      </c>
      <c r="AC7" s="19">
        <v>106</v>
      </c>
      <c r="AD7" s="21">
        <v>75</v>
      </c>
      <c r="AE7" s="9"/>
      <c r="AF7" s="6">
        <v>2016</v>
      </c>
      <c r="AG7" s="77">
        <v>4.4717737566366884E-2</v>
      </c>
      <c r="AH7" s="85">
        <v>0.51927531602881305</v>
      </c>
      <c r="AI7" s="86">
        <v>0.48797459203146881</v>
      </c>
      <c r="AJ7" s="76">
        <v>4.7296565174991872E-3</v>
      </c>
      <c r="AK7" s="41">
        <v>8.94E-3</v>
      </c>
      <c r="AL7" s="42">
        <v>5.5531476866399389E-3</v>
      </c>
      <c r="AM7" s="78">
        <v>6.5799999999999999E-3</v>
      </c>
      <c r="AN7" s="9"/>
      <c r="AO7" s="146" t="s">
        <v>200</v>
      </c>
      <c r="AP7" s="147">
        <v>0.26484156853223262</v>
      </c>
      <c r="AQ7" s="147">
        <v>0.28661477484360826</v>
      </c>
      <c r="AR7" s="147">
        <v>0.25078864353312302</v>
      </c>
      <c r="AS7" s="147">
        <v>0.40456520701017146</v>
      </c>
      <c r="AT7" s="147">
        <v>0.6011356428228507</v>
      </c>
      <c r="AU7" s="147">
        <v>1.2495834721759413E-2</v>
      </c>
      <c r="AV7" s="147">
        <v>9.9633455514828384E-2</v>
      </c>
      <c r="AW7" s="147">
        <v>0.12243923403848909</v>
      </c>
      <c r="AX7" s="147">
        <v>6.6567976696432829E-2</v>
      </c>
      <c r="AY7" s="147">
        <v>0.52120197626393827</v>
      </c>
      <c r="AZ7" s="162">
        <v>102.5180913186346</v>
      </c>
      <c r="BA7" s="177">
        <v>348.60695685661847</v>
      </c>
      <c r="BB7" s="9"/>
      <c r="BC7" s="150" t="s">
        <v>266</v>
      </c>
      <c r="BD7" s="151">
        <v>0.3313996727651346</v>
      </c>
      <c r="BE7" s="151">
        <v>0.52353854112778064</v>
      </c>
      <c r="BF7" s="151">
        <v>0.43733921352443955</v>
      </c>
      <c r="BG7" s="151">
        <v>0.72995344024831865</v>
      </c>
      <c r="BH7" s="151">
        <v>1.085120673286962</v>
      </c>
      <c r="BI7" s="151">
        <v>9.7430830039525698E-2</v>
      </c>
      <c r="BJ7" s="151">
        <v>3.5770750988142294E-2</v>
      </c>
      <c r="BK7" s="151">
        <v>8.1738230729436104E-2</v>
      </c>
      <c r="BL7" s="151">
        <v>0.16068287635799275</v>
      </c>
      <c r="BM7" s="151">
        <v>0.62383237587398599</v>
      </c>
      <c r="BN7" s="165">
        <v>122.971097156315</v>
      </c>
      <c r="BO7" s="168">
        <v>752.41105145949336</v>
      </c>
      <c r="BP7" s="9"/>
    </row>
    <row r="8" spans="1:68" x14ac:dyDescent="0.2">
      <c r="A8" s="9"/>
      <c r="B8" s="3">
        <v>1979</v>
      </c>
      <c r="C8" s="51" t="s">
        <v>144</v>
      </c>
      <c r="D8" s="26">
        <v>0.94699999999999995</v>
      </c>
      <c r="E8" s="71">
        <f>(T8-W8)/(R8-W8-Z8+AD8)</f>
        <v>0.29808672025359445</v>
      </c>
      <c r="F8" s="71">
        <f>AA8/Q8</f>
        <v>0.4846552411319251</v>
      </c>
      <c r="G8" s="71">
        <f>(U8+V8+W8)/T8</f>
        <v>0.4026723352566049</v>
      </c>
      <c r="H8" s="71">
        <f>(AA8+X8)/Q8</f>
        <v>0.63682742128337988</v>
      </c>
      <c r="I8" s="71">
        <f>(AA8/R8)+((T8+Y8+AB8)/(R8+Y8+AB8+AD8))</f>
        <v>0.94007092849263052</v>
      </c>
      <c r="J8" s="71">
        <f>W8/AA8</f>
        <v>0.10855263157894737</v>
      </c>
      <c r="K8" s="71">
        <f>(AC8+AD8)/AA8</f>
        <v>1.7763157894736842E-2</v>
      </c>
      <c r="L8" s="71">
        <f>Z8/Q8</f>
        <v>0.12164208848146672</v>
      </c>
      <c r="M8" s="71">
        <f>(Y8+AB8)/Q8</f>
        <v>0.1206058190514149</v>
      </c>
      <c r="N8" s="57">
        <f>(E8*0.7635+F8*0.7562+G8*0.75+H8*0.7248+I8*0.7021+J8*0.6285+1-K8*0.5884+1-L8*0.5276+M8*0.3663)/6.931</f>
        <v>0.58511890088280483</v>
      </c>
      <c r="O8" s="64">
        <f>N8/0.4982*100</f>
        <v>117.44658789297569</v>
      </c>
      <c r="P8" s="155">
        <f>(O8-100)/100*Q8*0.3389</f>
        <v>741.7417715028007</v>
      </c>
      <c r="Q8" s="54">
        <v>12545</v>
      </c>
      <c r="R8" s="21">
        <f>Q8-Y8-AB8-AC8-AD8</f>
        <v>10924</v>
      </c>
      <c r="S8" s="20" t="s">
        <v>19</v>
      </c>
      <c r="T8" s="19">
        <v>3293</v>
      </c>
      <c r="U8" s="19">
        <v>525</v>
      </c>
      <c r="V8" s="19">
        <v>141</v>
      </c>
      <c r="W8" s="19">
        <v>660</v>
      </c>
      <c r="X8" s="19">
        <v>1909</v>
      </c>
      <c r="Y8" s="54">
        <v>1468</v>
      </c>
      <c r="Z8" s="19">
        <v>1526</v>
      </c>
      <c r="AA8" s="54">
        <f>T8+U8+V8*2+W8*3</f>
        <v>6080</v>
      </c>
      <c r="AB8" s="19">
        <v>45</v>
      </c>
      <c r="AC8" s="19">
        <v>13</v>
      </c>
      <c r="AD8" s="21">
        <v>95</v>
      </c>
      <c r="AE8" s="9"/>
      <c r="AF8" s="6">
        <v>2015</v>
      </c>
      <c r="AG8" s="77">
        <v>4.4884222449735334E-2</v>
      </c>
      <c r="AH8" s="85">
        <v>0.51244340129766441</v>
      </c>
      <c r="AI8" s="86">
        <v>0.49225287184729749</v>
      </c>
      <c r="AJ8" s="76">
        <v>5.1135992332324047E-3</v>
      </c>
      <c r="AK8" s="41">
        <v>8.7200000000000003E-3</v>
      </c>
      <c r="AL8" s="42">
        <v>6.534951096782626E-3</v>
      </c>
      <c r="AM8" s="78">
        <v>6.7099999999999998E-3</v>
      </c>
      <c r="AN8" s="9"/>
      <c r="AO8" s="146" t="s">
        <v>139</v>
      </c>
      <c r="AP8" s="147">
        <v>0.27266985473247318</v>
      </c>
      <c r="AQ8" s="147">
        <v>0.29086269139798332</v>
      </c>
      <c r="AR8" s="147">
        <v>0.24306190911863373</v>
      </c>
      <c r="AS8" s="147">
        <v>0.37924810158097844</v>
      </c>
      <c r="AT8" s="147">
        <v>0.62210984468958452</v>
      </c>
      <c r="AU8" s="147">
        <v>5.4996790070618445E-2</v>
      </c>
      <c r="AV8" s="147">
        <v>5.6708752407447036E-2</v>
      </c>
      <c r="AW8" s="147">
        <v>0.19401219967633512</v>
      </c>
      <c r="AX8" s="147">
        <v>8.9505788621934521E-2</v>
      </c>
      <c r="AY8" s="147">
        <v>0.51917999949307503</v>
      </c>
      <c r="AZ8" s="162">
        <v>103.23722399941838</v>
      </c>
      <c r="BA8" s="177">
        <v>343.8330907612484</v>
      </c>
      <c r="BB8" s="9"/>
      <c r="BC8" s="150" t="s">
        <v>144</v>
      </c>
      <c r="BD8" s="151">
        <v>0.29808672025359445</v>
      </c>
      <c r="BE8" s="151">
        <v>0.4846552411319251</v>
      </c>
      <c r="BF8" s="151">
        <v>0.4026723352566049</v>
      </c>
      <c r="BG8" s="151">
        <v>0.63682742128337988</v>
      </c>
      <c r="BH8" s="151">
        <v>0.94007092849263052</v>
      </c>
      <c r="BI8" s="151">
        <v>0.10855263157894737</v>
      </c>
      <c r="BJ8" s="151">
        <v>1.7763157894736842E-2</v>
      </c>
      <c r="BK8" s="151">
        <v>0.12164208848146672</v>
      </c>
      <c r="BL8" s="151">
        <v>0.1206058190514149</v>
      </c>
      <c r="BM8" s="151">
        <v>0.58511890088280483</v>
      </c>
      <c r="BN8" s="165">
        <v>117.44658789297569</v>
      </c>
      <c r="BO8" s="168">
        <v>741.7417715028007</v>
      </c>
      <c r="BP8" s="9"/>
    </row>
    <row r="9" spans="1:68" x14ac:dyDescent="0.2">
      <c r="A9" s="9"/>
      <c r="B9" s="3">
        <v>1999</v>
      </c>
      <c r="C9" s="106" t="s">
        <v>87</v>
      </c>
      <c r="D9" s="98">
        <v>0.98799999999999999</v>
      </c>
      <c r="E9" s="99">
        <f>(T9-W9)/(R9-W9-Z9+AD9)</f>
        <v>0.26916753848453145</v>
      </c>
      <c r="F9" s="130">
        <f>AA9/Q9</f>
        <v>0.2545736434108527</v>
      </c>
      <c r="G9" s="99">
        <f>(U9+V9+W9)/T9</f>
        <v>0.27427988784093804</v>
      </c>
      <c r="H9" s="99">
        <f>(AA9+S9)/Q9</f>
        <v>0.35105204872646734</v>
      </c>
      <c r="I9" s="99">
        <f>(AA9/R9)+((T9+Y9+AB9)/(R9+Y9+AB9+AD9))</f>
        <v>0.60559607343458044</v>
      </c>
      <c r="J9" s="99">
        <f>W9/AA9</f>
        <v>5.5855228815033929E-2</v>
      </c>
      <c r="K9" s="99">
        <f>(AC9+AD9)/AA9</f>
        <v>6.1075343657560469E-2</v>
      </c>
      <c r="L9" s="99">
        <f>Z9/Q9</f>
        <v>0.25311184939091919</v>
      </c>
      <c r="M9" s="99">
        <f>(Y9+AB9)/Q9</f>
        <v>0.13080841638981175</v>
      </c>
      <c r="N9" s="100">
        <f>(1-E9*0.7635+1-F9*0.7562+1-G9*0.75+1-H9*0.7248+1-I9*0.7021+1-J9*0.6285+K9*0.5884+L9*0.5276+1-M9*0.3663)/11.068</f>
        <v>0.52431324186633799</v>
      </c>
      <c r="O9" s="101">
        <f>N9/0.5004*100</f>
        <v>104.77882531301719</v>
      </c>
      <c r="P9" s="240">
        <f>(O9-100)/100*Q9*0.6611</f>
        <v>713.20777930885185</v>
      </c>
      <c r="Q9" s="54">
        <v>22575</v>
      </c>
      <c r="R9" s="54">
        <f>Q9-Y9-AB9-AC9-AD9</f>
        <v>19271</v>
      </c>
      <c r="S9" s="19">
        <v>2178</v>
      </c>
      <c r="T9" s="19">
        <v>3923</v>
      </c>
      <c r="U9" s="19">
        <v>649</v>
      </c>
      <c r="V9" s="19">
        <v>106</v>
      </c>
      <c r="W9" s="19">
        <v>321</v>
      </c>
      <c r="X9" s="19" t="s">
        <v>19</v>
      </c>
      <c r="Y9" s="54">
        <v>2795</v>
      </c>
      <c r="Z9" s="19">
        <v>5714</v>
      </c>
      <c r="AA9" s="54">
        <f>T9+U9+V9*2+W9*3</f>
        <v>5747</v>
      </c>
      <c r="AB9" s="19">
        <v>158</v>
      </c>
      <c r="AC9" s="19">
        <v>205</v>
      </c>
      <c r="AD9" s="19">
        <v>146</v>
      </c>
      <c r="AE9" s="9"/>
      <c r="AF9" s="6">
        <v>2014</v>
      </c>
      <c r="AG9" s="77">
        <v>4.4239896916745049E-2</v>
      </c>
      <c r="AH9" s="85">
        <v>0.5030960685047513</v>
      </c>
      <c r="AI9" s="86">
        <v>0.49810635608904663</v>
      </c>
      <c r="AJ9" s="76">
        <v>4.6159115745749721E-3</v>
      </c>
      <c r="AK9" s="41">
        <v>8.9800000000000001E-3</v>
      </c>
      <c r="AL9" s="42">
        <v>7.3017305590744258E-3</v>
      </c>
      <c r="AM9" s="78">
        <v>6.94E-3</v>
      </c>
      <c r="AN9" s="9"/>
      <c r="AO9" s="146" t="s">
        <v>240</v>
      </c>
      <c r="AP9" s="147">
        <v>0.28953981466938905</v>
      </c>
      <c r="AQ9" s="147">
        <v>0.31795211165924681</v>
      </c>
      <c r="AR9" s="147">
        <v>0.25071447129124447</v>
      </c>
      <c r="AS9" s="147">
        <v>0.41384911562988808</v>
      </c>
      <c r="AT9" s="147">
        <v>0.66134067804757957</v>
      </c>
      <c r="AU9" s="147">
        <v>3.0652790917691582E-2</v>
      </c>
      <c r="AV9" s="147">
        <v>6.7928098391674546E-2</v>
      </c>
      <c r="AW9" s="147">
        <v>0.1363253519432078</v>
      </c>
      <c r="AX9" s="147">
        <v>7.3938154253399113E-2</v>
      </c>
      <c r="AY9" s="147">
        <v>0.5106365473358444</v>
      </c>
      <c r="AZ9" s="162">
        <v>103.0548026913914</v>
      </c>
      <c r="BA9" s="177">
        <v>335.68628645333138</v>
      </c>
      <c r="BB9" s="9"/>
      <c r="BC9" s="150" t="s">
        <v>232</v>
      </c>
      <c r="BD9" s="151">
        <v>0.33545108005082591</v>
      </c>
      <c r="BE9" s="151">
        <v>0.51214219282835594</v>
      </c>
      <c r="BF9" s="151">
        <v>0.42214663643235073</v>
      </c>
      <c r="BG9" s="151">
        <v>0.71075746615686675</v>
      </c>
      <c r="BH9" s="151">
        <v>1.0423926353162094</v>
      </c>
      <c r="BI9" s="151">
        <v>0.10774818401937046</v>
      </c>
      <c r="BJ9" s="151">
        <v>2.9459241323648102E-2</v>
      </c>
      <c r="BK9" s="151">
        <v>0.13547587062106026</v>
      </c>
      <c r="BL9" s="151">
        <v>0.15138989356205435</v>
      </c>
      <c r="BM9" s="151">
        <v>0.61194526743894506</v>
      </c>
      <c r="BN9" s="165">
        <v>121.61074472157097</v>
      </c>
      <c r="BO9" s="168">
        <v>708.73200173680652</v>
      </c>
      <c r="BP9" s="9"/>
    </row>
    <row r="10" spans="1:68" x14ac:dyDescent="0.2">
      <c r="A10" s="9"/>
      <c r="B10" s="3">
        <v>1951</v>
      </c>
      <c r="C10" s="51" t="s">
        <v>232</v>
      </c>
      <c r="D10" s="26">
        <v>0.79200000000000004</v>
      </c>
      <c r="E10" s="71">
        <f>(T10-W10)/(R10-W10-Z10+AD10)</f>
        <v>0.33545108005082591</v>
      </c>
      <c r="F10" s="71">
        <f>AA10/Q10</f>
        <v>0.51214219282835594</v>
      </c>
      <c r="G10" s="71">
        <f>(U10+V10+W10)/T10</f>
        <v>0.42214663643235073</v>
      </c>
      <c r="H10" s="71">
        <f>(AA10+X10)/Q10</f>
        <v>0.71075746615686675</v>
      </c>
      <c r="I10" s="71">
        <f>(AA10/R10)+((T10+Y10+AB10)/(R10+Y10+AB10+AD10))</f>
        <v>1.0423926353162094</v>
      </c>
      <c r="J10" s="71">
        <f>W10/AA10</f>
        <v>0.10774818401937046</v>
      </c>
      <c r="K10" s="71">
        <f>(AC10+AD10)/AA10</f>
        <v>2.9459241323648102E-2</v>
      </c>
      <c r="L10" s="71">
        <f>Z10/Q10</f>
        <v>0.13547587062106026</v>
      </c>
      <c r="M10" s="71">
        <f>(Y10+AB10)/Q10</f>
        <v>0.15138989356205435</v>
      </c>
      <c r="N10" s="57">
        <f>(E10*0.7635+F10*0.7562+G10*0.75+H10*0.7248+I10*0.7021+J10*0.6285+1-K10*0.5884+1-L10*0.5276+M10*0.3663)/6.931</f>
        <v>0.61194526743894506</v>
      </c>
      <c r="O10" s="64">
        <f>N10/0.5032*100</f>
        <v>121.61074472157097</v>
      </c>
      <c r="P10" s="155">
        <f>(O10-100)/100*Q10*0.3389</f>
        <v>708.73200173680652</v>
      </c>
      <c r="Q10" s="54">
        <v>9677</v>
      </c>
      <c r="R10" s="21">
        <f>Q10-Y10-AB10-AC10-AD10</f>
        <v>8066</v>
      </c>
      <c r="S10" s="20" t="s">
        <v>19</v>
      </c>
      <c r="T10" s="19">
        <v>2646</v>
      </c>
      <c r="U10" s="19">
        <v>458</v>
      </c>
      <c r="V10" s="19">
        <v>125</v>
      </c>
      <c r="W10" s="19">
        <v>534</v>
      </c>
      <c r="X10" s="19">
        <v>1922</v>
      </c>
      <c r="Y10" s="54">
        <v>1452</v>
      </c>
      <c r="Z10" s="19">
        <v>1311</v>
      </c>
      <c r="AA10" s="54">
        <f>T10+U10+V10*2+W10*3</f>
        <v>4956</v>
      </c>
      <c r="AB10" s="19">
        <v>13</v>
      </c>
      <c r="AC10" s="19">
        <v>71</v>
      </c>
      <c r="AD10" s="21">
        <v>75</v>
      </c>
      <c r="AE10" s="9"/>
      <c r="AF10" s="6">
        <v>2013</v>
      </c>
      <c r="AG10" s="77">
        <v>4.4473773888020422E-2</v>
      </c>
      <c r="AH10" s="85">
        <v>0.50831784883894637</v>
      </c>
      <c r="AI10" s="86">
        <v>0.49483637420466781</v>
      </c>
      <c r="AJ10" s="76">
        <v>4.1758396304490113E-3</v>
      </c>
      <c r="AK10" s="41">
        <v>8.3099999999999997E-3</v>
      </c>
      <c r="AL10" s="42">
        <v>7.480811151439096E-3</v>
      </c>
      <c r="AM10" s="78">
        <v>6.5900000000000004E-3</v>
      </c>
      <c r="AN10" s="9"/>
      <c r="AO10" s="146" t="s">
        <v>42</v>
      </c>
      <c r="AP10" s="147">
        <v>0.28742391416486124</v>
      </c>
      <c r="AQ10" s="147">
        <v>0.32772755938616777</v>
      </c>
      <c r="AR10" s="147">
        <v>0.31229668184775539</v>
      </c>
      <c r="AS10" s="147">
        <v>0.42519795389250931</v>
      </c>
      <c r="AT10" s="147">
        <v>0.65340202978874706</v>
      </c>
      <c r="AU10" s="147">
        <v>6.1577934573444515E-2</v>
      </c>
      <c r="AV10" s="147">
        <v>4.8321573658327989E-2</v>
      </c>
      <c r="AW10" s="147">
        <v>0.21610258566323312</v>
      </c>
      <c r="AX10" s="147">
        <v>7.4767010020320934E-2</v>
      </c>
      <c r="AY10" s="147">
        <v>0.50667907102748022</v>
      </c>
      <c r="AZ10" s="162">
        <v>103.50951399948522</v>
      </c>
      <c r="BA10" s="177">
        <v>331.10713730906696</v>
      </c>
      <c r="BB10" s="9"/>
      <c r="BC10" s="150" t="s">
        <v>270</v>
      </c>
      <c r="BD10" s="151">
        <v>0.34959349593495936</v>
      </c>
      <c r="BE10" s="151">
        <v>0.42437603993344425</v>
      </c>
      <c r="BF10" s="151">
        <v>0.32185543540125211</v>
      </c>
      <c r="BG10" s="151">
        <v>0.55174708818635609</v>
      </c>
      <c r="BH10" s="151">
        <v>0.93023264457281041</v>
      </c>
      <c r="BI10" s="151">
        <v>2.2936679082532836E-2</v>
      </c>
      <c r="BJ10" s="151">
        <v>7.9200156831993732E-2</v>
      </c>
      <c r="BK10" s="151">
        <v>3.26955074875208E-2</v>
      </c>
      <c r="BL10" s="151">
        <v>0.12346089850249584</v>
      </c>
      <c r="BM10" s="151">
        <v>0.55951953675681254</v>
      </c>
      <c r="BN10" s="165">
        <v>116.46951223081028</v>
      </c>
      <c r="BO10" s="168">
        <v>670.89842694159688</v>
      </c>
      <c r="BP10" s="9"/>
    </row>
    <row r="11" spans="1:68" x14ac:dyDescent="0.2">
      <c r="A11" s="9"/>
      <c r="B11" s="3">
        <v>1937</v>
      </c>
      <c r="C11" s="51" t="s">
        <v>270</v>
      </c>
      <c r="D11" s="26">
        <v>0.82099999999999995</v>
      </c>
      <c r="E11" s="71">
        <f>(T11-W11)/(R11-W11-Z11+AD11)</f>
        <v>0.34959349593495936</v>
      </c>
      <c r="F11" s="71">
        <f>AA11/Q11</f>
        <v>0.42437603993344425</v>
      </c>
      <c r="G11" s="71">
        <f>(U11+V11+W11)/T11</f>
        <v>0.32185543540125211</v>
      </c>
      <c r="H11" s="71">
        <f>(AA11+X11)/Q11</f>
        <v>0.55174708818635609</v>
      </c>
      <c r="I11" s="71">
        <f>(AA11/R11)+((T11+Y11+AB11)/(R11+Y11+AB11+AD11))</f>
        <v>0.93023264457281041</v>
      </c>
      <c r="J11" s="71">
        <f>W11/AA11</f>
        <v>2.2936679082532836E-2</v>
      </c>
      <c r="K11" s="71">
        <f>(AC11+AD11)/AA11</f>
        <v>7.9200156831993732E-2</v>
      </c>
      <c r="L11" s="71">
        <f>Z11/Q11</f>
        <v>3.26955074875208E-2</v>
      </c>
      <c r="M11" s="71">
        <f>(Y11+AB11)/Q11</f>
        <v>0.12346089850249584</v>
      </c>
      <c r="N11" s="57">
        <f>(E11*0.7635+F11*0.7562+G11*0.75+H11*0.7248+I11*0.7021+J11*0.6285+1-K11*0.5884+1-L11*0.5276+M11*0.3663)/6.931</f>
        <v>0.55951953675681254</v>
      </c>
      <c r="O11" s="64">
        <f>N11/0.4804*100</f>
        <v>116.46951223081028</v>
      </c>
      <c r="P11" s="155">
        <f>(O11-100)/100*Q11*0.3389</f>
        <v>670.89842694159688</v>
      </c>
      <c r="Q11" s="54">
        <v>12020</v>
      </c>
      <c r="R11" s="21">
        <f>Q11-Y11-AB11-AC11-AD11</f>
        <v>10132</v>
      </c>
      <c r="S11" s="19" t="s">
        <v>19</v>
      </c>
      <c r="T11" s="19">
        <v>3514</v>
      </c>
      <c r="U11" s="19">
        <v>792</v>
      </c>
      <c r="V11" s="19">
        <v>222</v>
      </c>
      <c r="W11" s="19">
        <v>117</v>
      </c>
      <c r="X11" s="19">
        <v>1531</v>
      </c>
      <c r="Y11" s="54">
        <v>1381</v>
      </c>
      <c r="Z11" s="19">
        <v>393</v>
      </c>
      <c r="AA11" s="54">
        <f>T11+U11+V11*2+W11*3</f>
        <v>5101</v>
      </c>
      <c r="AB11" s="19">
        <v>103</v>
      </c>
      <c r="AC11" s="19">
        <v>309</v>
      </c>
      <c r="AD11" s="21">
        <v>95</v>
      </c>
      <c r="AE11" s="9"/>
      <c r="AF11" s="6">
        <v>2012</v>
      </c>
      <c r="AG11" s="77">
        <v>4.485286133130633E-2</v>
      </c>
      <c r="AH11" s="85">
        <v>0.51285850718947035</v>
      </c>
      <c r="AI11" s="86">
        <v>0.49199292434674569</v>
      </c>
      <c r="AJ11" s="76">
        <v>5.0331197741339991E-3</v>
      </c>
      <c r="AK11" s="41">
        <v>8.1099999999999992E-3</v>
      </c>
      <c r="AL11" s="42">
        <v>8.0301878597024649E-3</v>
      </c>
      <c r="AM11" s="78">
        <v>6.6400000000000001E-3</v>
      </c>
      <c r="AN11" s="9"/>
      <c r="AO11" s="146" t="s">
        <v>109</v>
      </c>
      <c r="AP11" s="147">
        <v>0.27378640776699031</v>
      </c>
      <c r="AQ11" s="147">
        <v>0.28221150043502335</v>
      </c>
      <c r="AR11" s="147">
        <v>0.20680628272251309</v>
      </c>
      <c r="AS11" s="147">
        <v>0.37688839674127977</v>
      </c>
      <c r="AT11" s="147">
        <v>0.63750221934191331</v>
      </c>
      <c r="AU11" s="147">
        <v>3.811659192825112E-2</v>
      </c>
      <c r="AV11" s="147">
        <v>7.6513452914798205E-2</v>
      </c>
      <c r="AW11" s="147">
        <v>0.14205489203511826</v>
      </c>
      <c r="AX11" s="147">
        <v>0.1002926520604287</v>
      </c>
      <c r="AY11" s="147">
        <v>0.52050661466364034</v>
      </c>
      <c r="AZ11" s="162">
        <v>103.87280276664146</v>
      </c>
      <c r="BA11" s="177">
        <v>323.69998179824148</v>
      </c>
      <c r="BB11" s="9"/>
      <c r="BC11" s="150" t="s">
        <v>137</v>
      </c>
      <c r="BD11" s="151">
        <v>0.29495682642973348</v>
      </c>
      <c r="BE11" s="151">
        <v>0.45751021798365121</v>
      </c>
      <c r="BF11" s="151">
        <v>0.40299014610941214</v>
      </c>
      <c r="BG11" s="151">
        <v>0.61180177111716616</v>
      </c>
      <c r="BH11" s="151">
        <v>0.92585567863218865</v>
      </c>
      <c r="BI11" s="151">
        <v>0.10906383770705379</v>
      </c>
      <c r="BJ11" s="151">
        <v>2.2147775916620139E-2</v>
      </c>
      <c r="BK11" s="151">
        <v>0.13044959128065395</v>
      </c>
      <c r="BL11" s="151">
        <v>0.13777247956403268</v>
      </c>
      <c r="BM11" s="151">
        <v>0.57770080718914374</v>
      </c>
      <c r="BN11" s="165">
        <v>116.33121369092704</v>
      </c>
      <c r="BO11" s="168">
        <v>649.98909868379167</v>
      </c>
      <c r="BP11" s="9"/>
    </row>
    <row r="12" spans="1:68" x14ac:dyDescent="0.2">
      <c r="A12" s="9"/>
      <c r="B12" s="3">
        <v>1982</v>
      </c>
      <c r="C12" s="51" t="s">
        <v>137</v>
      </c>
      <c r="D12" s="26">
        <v>0.89200000000000002</v>
      </c>
      <c r="E12" s="71">
        <f>(T12-W12)/(R12-W12-Z12+AD12)</f>
        <v>0.29495682642973348</v>
      </c>
      <c r="F12" s="71">
        <f>AA12/Q12</f>
        <v>0.45751021798365121</v>
      </c>
      <c r="G12" s="71">
        <f>(U12+V12+W12)/T12</f>
        <v>0.40299014610941214</v>
      </c>
      <c r="H12" s="71">
        <f>(AA12+X12)/Q12</f>
        <v>0.61180177111716616</v>
      </c>
      <c r="I12" s="71">
        <f>(AA12/R12)+((T12+Y12+AB12)/(R12+Y12+AB12+AD12))</f>
        <v>0.92585567863218865</v>
      </c>
      <c r="J12" s="71">
        <f>W12/AA12</f>
        <v>0.10906383770705379</v>
      </c>
      <c r="K12" s="71">
        <f>(AC12+AD12)/AA12</f>
        <v>2.2147775916620139E-2</v>
      </c>
      <c r="L12" s="71">
        <f>Z12/Q12</f>
        <v>0.13044959128065395</v>
      </c>
      <c r="M12" s="71">
        <f>(Y12+AB12)/Q12</f>
        <v>0.13777247956403268</v>
      </c>
      <c r="N12" s="57">
        <f>(E12*0.7635+F12*0.7562+G12*0.75+H12*0.7248+I12*0.7021+J12*0.6285+1-K12*0.5884+1-L12*0.5276+M12*0.3663)/6.931</f>
        <v>0.57770080718914374</v>
      </c>
      <c r="O12" s="64">
        <f>N12/0.4966*100</f>
        <v>116.33121369092704</v>
      </c>
      <c r="P12" s="155">
        <f>(O12-100)/100*Q12*0.3389</f>
        <v>649.98909868379167</v>
      </c>
      <c r="Q12" s="54">
        <v>11744</v>
      </c>
      <c r="R12" s="54">
        <f>Q12-Y12-AB12-AC12-AD12</f>
        <v>10007</v>
      </c>
      <c r="S12" s="20" t="s">
        <v>19</v>
      </c>
      <c r="T12" s="19">
        <v>2943</v>
      </c>
      <c r="U12" s="19">
        <v>528</v>
      </c>
      <c r="V12" s="19">
        <v>72</v>
      </c>
      <c r="W12" s="19">
        <v>586</v>
      </c>
      <c r="X12" s="19">
        <v>1812</v>
      </c>
      <c r="Y12" s="54">
        <v>1420</v>
      </c>
      <c r="Z12" s="19">
        <v>1532</v>
      </c>
      <c r="AA12" s="54">
        <f>T12+U12+V12*2+W12*3</f>
        <v>5373</v>
      </c>
      <c r="AB12" s="19">
        <v>198</v>
      </c>
      <c r="AC12" s="19">
        <v>17</v>
      </c>
      <c r="AD12" s="19">
        <v>102</v>
      </c>
      <c r="AE12" s="9"/>
      <c r="AF12" s="6">
        <v>2011</v>
      </c>
      <c r="AG12" s="77">
        <v>4.5339955194472183E-2</v>
      </c>
      <c r="AH12" s="85">
        <v>0.50984718062050649</v>
      </c>
      <c r="AI12" s="86">
        <v>0.49387867646542005</v>
      </c>
      <c r="AJ12" s="76">
        <v>4.8476342141488297E-3</v>
      </c>
      <c r="AK12" s="41">
        <v>8.3899999999999999E-3</v>
      </c>
      <c r="AL12" s="42">
        <v>8.9988933574455445E-3</v>
      </c>
      <c r="AM12" s="78">
        <v>6.8799999999999998E-3</v>
      </c>
      <c r="AN12" s="9"/>
      <c r="AO12" s="146" t="s">
        <v>207</v>
      </c>
      <c r="AP12" s="147">
        <v>0.26829268292682928</v>
      </c>
      <c r="AQ12" s="147">
        <v>0.28969824387830817</v>
      </c>
      <c r="AR12" s="147">
        <v>0.25863650259859372</v>
      </c>
      <c r="AS12" s="147">
        <v>0.38597576057383132</v>
      </c>
      <c r="AT12" s="147">
        <v>0.65245337640231471</v>
      </c>
      <c r="AU12" s="147">
        <v>4.7812166488794022E-2</v>
      </c>
      <c r="AV12" s="147">
        <v>6.616862326574173E-2</v>
      </c>
      <c r="AW12" s="147">
        <v>0.15959683403413308</v>
      </c>
      <c r="AX12" s="147">
        <v>0.11278753400939896</v>
      </c>
      <c r="AY12" s="147">
        <v>0.51464053921212394</v>
      </c>
      <c r="AZ12" s="162">
        <v>102.9899017834949</v>
      </c>
      <c r="BA12" s="177">
        <v>319.65964444975441</v>
      </c>
      <c r="BB12" s="9"/>
      <c r="BC12" s="150" t="s">
        <v>260</v>
      </c>
      <c r="BD12" s="151">
        <v>0.36518960966800945</v>
      </c>
      <c r="BE12" s="151">
        <v>0.4969939879759519</v>
      </c>
      <c r="BF12" s="151">
        <v>0.34505119453924915</v>
      </c>
      <c r="BG12" s="151">
        <v>0.66406497204936188</v>
      </c>
      <c r="BH12" s="151">
        <v>1.014972275130922</v>
      </c>
      <c r="BI12" s="151">
        <v>6.387945670628184E-2</v>
      </c>
      <c r="BJ12" s="151">
        <v>6.1969439728353143E-2</v>
      </c>
      <c r="BK12" s="151">
        <v>7.1616918046619557E-2</v>
      </c>
      <c r="BL12" s="151">
        <v>0.11454487923214851</v>
      </c>
      <c r="BM12" s="151">
        <v>0.59374144657470052</v>
      </c>
      <c r="BN12" s="165">
        <v>119.46507979370232</v>
      </c>
      <c r="BO12" s="168">
        <v>625.43460054514662</v>
      </c>
      <c r="BP12" s="9"/>
    </row>
    <row r="13" spans="1:68" x14ac:dyDescent="0.2">
      <c r="A13" s="9"/>
      <c r="B13" s="3">
        <v>1942</v>
      </c>
      <c r="C13" s="51" t="s">
        <v>260</v>
      </c>
      <c r="D13" s="26">
        <v>0.78100000000000003</v>
      </c>
      <c r="E13" s="71">
        <f>(T13-W13)/(R13-W13-Z13+AD13)</f>
        <v>0.36518960966800945</v>
      </c>
      <c r="F13" s="71">
        <f>AA13/Q13</f>
        <v>0.4969939879759519</v>
      </c>
      <c r="G13" s="71">
        <f>(U13+V13+W13)/T13</f>
        <v>0.34505119453924915</v>
      </c>
      <c r="H13" s="71">
        <f>(AA13+X13)/Q13</f>
        <v>0.66406497204936188</v>
      </c>
      <c r="I13" s="71">
        <f>(AA13/R13)+((T13+Y13+AB13)/(R13+Y13+AB13+AD13))</f>
        <v>1.014972275130922</v>
      </c>
      <c r="J13" s="71">
        <f>W13/AA13</f>
        <v>6.387945670628184E-2</v>
      </c>
      <c r="K13" s="71">
        <f>(AC13+AD13)/AA13</f>
        <v>6.1969439728353143E-2</v>
      </c>
      <c r="L13" s="71">
        <f>Z13/Q13</f>
        <v>7.1616918046619557E-2</v>
      </c>
      <c r="M13" s="71">
        <f>(Y13+AB13)/Q13</f>
        <v>0.11454487923214851</v>
      </c>
      <c r="N13" s="57">
        <f>(E13*0.7635+F13*0.7562+G13*0.75+H13*0.7248+I13*0.7021+J13*0.6285+1-K13*0.5884+1-L13*0.5276+M13*0.3663)/6.931</f>
        <v>0.59374144657470052</v>
      </c>
      <c r="O13" s="64">
        <f>N13/0.497*100</f>
        <v>119.46507979370232</v>
      </c>
      <c r="P13" s="155">
        <f>(O13-100)/100*Q13*0.3389</f>
        <v>625.43460054514662</v>
      </c>
      <c r="Q13" s="54">
        <v>9481</v>
      </c>
      <c r="R13" s="21">
        <f>Q13-Y13-AB13-AC13-AD13</f>
        <v>8103</v>
      </c>
      <c r="S13" s="19" t="s">
        <v>19</v>
      </c>
      <c r="T13" s="19">
        <v>2930</v>
      </c>
      <c r="U13" s="19">
        <v>541</v>
      </c>
      <c r="V13" s="19">
        <v>169</v>
      </c>
      <c r="W13" s="19">
        <v>301</v>
      </c>
      <c r="X13" s="19">
        <v>1584</v>
      </c>
      <c r="Y13" s="54">
        <v>1038</v>
      </c>
      <c r="Z13" s="19">
        <v>679</v>
      </c>
      <c r="AA13" s="54">
        <f>T13+U13+V13*2+W13*3</f>
        <v>4712</v>
      </c>
      <c r="AB13" s="19">
        <v>48</v>
      </c>
      <c r="AC13" s="19">
        <v>216</v>
      </c>
      <c r="AD13" s="21">
        <v>76</v>
      </c>
      <c r="AE13" s="9"/>
      <c r="AF13" s="6">
        <v>2010</v>
      </c>
      <c r="AG13" s="77">
        <v>4.5733563995192746E-2</v>
      </c>
      <c r="AH13" s="85">
        <v>0.51222353863219616</v>
      </c>
      <c r="AI13" s="86">
        <v>0.49239055418686745</v>
      </c>
      <c r="AJ13" s="76">
        <v>4.667130146103809E-3</v>
      </c>
      <c r="AK13" s="41">
        <v>8.3499999999999998E-3</v>
      </c>
      <c r="AL13" s="42">
        <v>8.3210726854321942E-3</v>
      </c>
      <c r="AM13" s="78">
        <v>7.0099999999999997E-3</v>
      </c>
      <c r="AN13" s="9"/>
      <c r="AO13" s="146" t="s">
        <v>23</v>
      </c>
      <c r="AP13" s="147">
        <v>0.2647814910025707</v>
      </c>
      <c r="AQ13" s="147">
        <v>0.27082108563590046</v>
      </c>
      <c r="AR13" s="147">
        <v>0.22745490981963928</v>
      </c>
      <c r="AS13" s="154">
        <v>0.33744855967078191</v>
      </c>
      <c r="AT13" s="154">
        <v>0.55476233796149477</v>
      </c>
      <c r="AU13" s="147">
        <v>5.1374819102749637E-2</v>
      </c>
      <c r="AV13" s="147">
        <v>3.6903039073806078E-2</v>
      </c>
      <c r="AW13" s="147">
        <v>0.22986478542034097</v>
      </c>
      <c r="AX13" s="147">
        <v>6.505976876347247E-2</v>
      </c>
      <c r="AY13" s="147">
        <v>0.53083139073359709</v>
      </c>
      <c r="AZ13" s="161">
        <v>108.91083109019226</v>
      </c>
      <c r="BA13" s="177">
        <v>300.61520063304306</v>
      </c>
      <c r="BB13" s="9"/>
      <c r="BC13" s="150" t="s">
        <v>274</v>
      </c>
      <c r="BD13" s="151">
        <v>0.34533347206326087</v>
      </c>
      <c r="BE13" s="151">
        <v>0.4142565498468867</v>
      </c>
      <c r="BF13" s="151">
        <v>0.29122807017543861</v>
      </c>
      <c r="BG13" s="151">
        <v>0.56158557332425996</v>
      </c>
      <c r="BH13" s="151">
        <v>0.86125107109670251</v>
      </c>
      <c r="BI13" s="151">
        <v>2.0739219712525667E-2</v>
      </c>
      <c r="BJ13" s="151">
        <v>6.4887063655030802E-2</v>
      </c>
      <c r="BK13" s="151">
        <v>6.2521265736645112E-2</v>
      </c>
      <c r="BL13" s="151">
        <v>9.2548485879550862E-2</v>
      </c>
      <c r="BM13" s="151">
        <v>0.54578486567858031</v>
      </c>
      <c r="BN13" s="165">
        <v>115.65689037477863</v>
      </c>
      <c r="BO13" s="168">
        <v>623.78748460034672</v>
      </c>
      <c r="BP13" s="9"/>
    </row>
    <row r="14" spans="1:68" x14ac:dyDescent="0.2">
      <c r="A14" s="9"/>
      <c r="B14" s="3">
        <v>1936</v>
      </c>
      <c r="C14" s="51" t="s">
        <v>274</v>
      </c>
      <c r="D14" s="108">
        <v>0.95099999999999996</v>
      </c>
      <c r="E14" s="109">
        <f>(T14-W14)/(R14-W14-Z14+AD14)</f>
        <v>0.34533347206326087</v>
      </c>
      <c r="F14" s="109">
        <f>AA14/Q14</f>
        <v>0.4142565498468867</v>
      </c>
      <c r="G14" s="109">
        <f>(U14+V14+W14)/T14</f>
        <v>0.29122807017543861</v>
      </c>
      <c r="H14" s="109">
        <f>(AA14+X14)/Q14</f>
        <v>0.56158557332425996</v>
      </c>
      <c r="I14" s="109">
        <f>(AA14/R14)+((T14+Y14+AB14)/(R14+Y14+AB14+AD14))</f>
        <v>0.86125107109670251</v>
      </c>
      <c r="J14" s="109">
        <f>W14/AA14</f>
        <v>2.0739219712525667E-2</v>
      </c>
      <c r="K14" s="109">
        <f>(AC14+AD14)/AA14</f>
        <v>6.4887063655030802E-2</v>
      </c>
      <c r="L14" s="109">
        <f>Z14/Q14</f>
        <v>6.2521265736645112E-2</v>
      </c>
      <c r="M14" s="109">
        <f>(Y14+AB14)/Q14</f>
        <v>9.2548485879550862E-2</v>
      </c>
      <c r="N14" s="110">
        <f>(E14*0.7635+F14*0.7562+G14*0.75+H14*0.7248+I14*0.7021+J14*0.6285+1-K14*0.5884+1-L14*0.5276+M14*0.3663)/6.931</f>
        <v>0.54578486567858031</v>
      </c>
      <c r="O14" s="111">
        <f>N14/0.4719*100</f>
        <v>115.65689037477863</v>
      </c>
      <c r="P14" s="155">
        <f>(O14-100)/100*Q14*0.3389</f>
        <v>623.78748460034672</v>
      </c>
      <c r="Q14" s="54">
        <v>11756</v>
      </c>
      <c r="R14" s="21">
        <f>Q14-Y14-AB14-AC14-AD14</f>
        <v>10352</v>
      </c>
      <c r="S14" s="19" t="s">
        <v>19</v>
      </c>
      <c r="T14" s="19">
        <v>3420</v>
      </c>
      <c r="U14" s="19">
        <v>643</v>
      </c>
      <c r="V14" s="19">
        <v>252</v>
      </c>
      <c r="W14" s="19">
        <v>101</v>
      </c>
      <c r="X14" s="19">
        <v>1732</v>
      </c>
      <c r="Y14" s="54">
        <v>963</v>
      </c>
      <c r="Z14" s="19">
        <v>735</v>
      </c>
      <c r="AA14" s="54">
        <f>T14+U14+V14*2+W14*3</f>
        <v>4870</v>
      </c>
      <c r="AB14" s="19">
        <v>125</v>
      </c>
      <c r="AC14" s="19">
        <v>221</v>
      </c>
      <c r="AD14" s="21">
        <v>95</v>
      </c>
      <c r="AE14" s="9"/>
      <c r="AF14" s="6">
        <v>2009</v>
      </c>
      <c r="AG14" s="77">
        <v>4.6702195329245931E-2</v>
      </c>
      <c r="AH14" s="85">
        <v>0.51966329080371787</v>
      </c>
      <c r="AI14" s="86">
        <v>0.487731634571687</v>
      </c>
      <c r="AJ14" s="76">
        <v>5.0727232880227067E-3</v>
      </c>
      <c r="AK14" s="41">
        <v>8.5000000000000006E-3</v>
      </c>
      <c r="AL14" s="42">
        <v>8.7396233676682051E-3</v>
      </c>
      <c r="AM14" s="78">
        <v>7.3000000000000001E-3</v>
      </c>
      <c r="AN14" s="9"/>
      <c r="AO14" s="146" t="s">
        <v>124</v>
      </c>
      <c r="AP14" s="147">
        <v>0.25015566625155666</v>
      </c>
      <c r="AQ14" s="147">
        <v>0.27406519132235907</v>
      </c>
      <c r="AR14" s="147">
        <v>0.23392145702902675</v>
      </c>
      <c r="AS14" s="147">
        <v>0.35833424179657691</v>
      </c>
      <c r="AT14" s="147">
        <v>0.59720350518276044</v>
      </c>
      <c r="AU14" s="147">
        <v>5.9665871121718374E-2</v>
      </c>
      <c r="AV14" s="147">
        <v>8.2736674622116146E-2</v>
      </c>
      <c r="AW14" s="147">
        <v>0.17551509865910825</v>
      </c>
      <c r="AX14" s="147">
        <v>9.1573094952578218E-2</v>
      </c>
      <c r="AY14" s="147">
        <v>0.52561804478164909</v>
      </c>
      <c r="AZ14" s="162">
        <v>104.91378139354272</v>
      </c>
      <c r="BA14" s="177">
        <v>297.98498565553734</v>
      </c>
      <c r="BB14" s="9"/>
      <c r="BC14" s="150" t="s">
        <v>231</v>
      </c>
      <c r="BD14" s="151">
        <v>0.29342431761786603</v>
      </c>
      <c r="BE14" s="151">
        <v>0.44421924568205851</v>
      </c>
      <c r="BF14" s="151">
        <v>0.37239221140472878</v>
      </c>
      <c r="BG14" s="151">
        <v>0.60812477969686285</v>
      </c>
      <c r="BH14" s="151">
        <v>0.95097996790417771</v>
      </c>
      <c r="BI14" s="151">
        <v>0.1013687760365007</v>
      </c>
      <c r="BJ14" s="151">
        <v>3.8881174370164646E-2</v>
      </c>
      <c r="BK14" s="151">
        <v>7.8956644342615442E-2</v>
      </c>
      <c r="BL14" s="151">
        <v>0.15615086358829749</v>
      </c>
      <c r="BM14" s="151">
        <v>0.57770411527140864</v>
      </c>
      <c r="BN14" s="165">
        <v>115.10343002020495</v>
      </c>
      <c r="BO14" s="168">
        <v>580.85333019300958</v>
      </c>
      <c r="BP14" s="9"/>
    </row>
    <row r="15" spans="1:68" x14ac:dyDescent="0.2">
      <c r="A15" s="9"/>
      <c r="B15" s="3">
        <v>1951</v>
      </c>
      <c r="C15" s="51" t="s">
        <v>231</v>
      </c>
      <c r="D15" s="26">
        <v>0.872</v>
      </c>
      <c r="E15" s="71">
        <f>(T15-W15)/(R15-W15-Z15+AD15)</f>
        <v>0.29342431761786603</v>
      </c>
      <c r="F15" s="71">
        <f>AA15/Q15</f>
        <v>0.44421924568205851</v>
      </c>
      <c r="G15" s="71">
        <f>(U15+V15+W15)/T15</f>
        <v>0.37239221140472878</v>
      </c>
      <c r="H15" s="71">
        <f>(AA15+X15)/Q15</f>
        <v>0.60812477969686285</v>
      </c>
      <c r="I15" s="71">
        <f>(AA15/R15)+((T15+Y15+AB15)/(R15+Y15+AB15+AD15))</f>
        <v>0.95097996790417771</v>
      </c>
      <c r="J15" s="71">
        <f>W15/AA15</f>
        <v>0.1013687760365007</v>
      </c>
      <c r="K15" s="71">
        <f>(AC15+AD15)/AA15</f>
        <v>3.8881174370164646E-2</v>
      </c>
      <c r="L15" s="71">
        <f>Z15/Q15</f>
        <v>7.8956644342615442E-2</v>
      </c>
      <c r="M15" s="71">
        <f>(Y15+AB15)/Q15</f>
        <v>0.15615086358829749</v>
      </c>
      <c r="N15" s="57">
        <f>(E15*0.7635+F15*0.7562+G15*0.75+H15*0.7248+I15*0.7021+J15*0.6285+1-K15*0.5884+1-L15*0.5276+M15*0.3663)/6.931</f>
        <v>0.57770411527140864</v>
      </c>
      <c r="O15" s="64">
        <f>N15/0.5019*100</f>
        <v>115.10343002020495</v>
      </c>
      <c r="P15" s="155">
        <f>(O15-100)/100*Q15*0.3389</f>
        <v>580.85333019300958</v>
      </c>
      <c r="Q15" s="54">
        <v>11348</v>
      </c>
      <c r="R15" s="21">
        <f>Q15-Y15-AB15-AC15-AD15</f>
        <v>9380</v>
      </c>
      <c r="S15" s="20" t="s">
        <v>19</v>
      </c>
      <c r="T15" s="19">
        <v>2876</v>
      </c>
      <c r="U15" s="19">
        <v>488</v>
      </c>
      <c r="V15" s="19">
        <v>72</v>
      </c>
      <c r="W15" s="19">
        <v>511</v>
      </c>
      <c r="X15" s="19">
        <v>1860</v>
      </c>
      <c r="Y15" s="54">
        <v>1708</v>
      </c>
      <c r="Z15" s="19">
        <v>896</v>
      </c>
      <c r="AA15" s="54">
        <f>T15+U15+V15*2+W15*3</f>
        <v>5041</v>
      </c>
      <c r="AB15" s="19">
        <v>64</v>
      </c>
      <c r="AC15" s="19">
        <v>109</v>
      </c>
      <c r="AD15" s="21">
        <v>87</v>
      </c>
      <c r="AE15" s="9"/>
      <c r="AF15" s="6">
        <v>2008</v>
      </c>
      <c r="AG15" s="77">
        <v>4.8041101950104192E-2</v>
      </c>
      <c r="AH15" s="85">
        <v>0.51947502005651314</v>
      </c>
      <c r="AI15" s="86">
        <v>0.48784953342865089</v>
      </c>
      <c r="AJ15" s="76">
        <v>4.7220342054351359E-3</v>
      </c>
      <c r="AK15" s="41">
        <v>8.9099999999999995E-3</v>
      </c>
      <c r="AL15" s="42">
        <v>8.1329844215508092E-3</v>
      </c>
      <c r="AM15" s="78">
        <v>7.2700000000000004E-3</v>
      </c>
      <c r="AN15" s="9"/>
      <c r="AO15" s="146" t="s">
        <v>45</v>
      </c>
      <c r="AP15" s="147">
        <v>0.2846826027298332</v>
      </c>
      <c r="AQ15" s="147">
        <v>0.33885185981509353</v>
      </c>
      <c r="AR15" s="147">
        <v>0.28338762214983715</v>
      </c>
      <c r="AS15" s="147">
        <v>0.44098043431520101</v>
      </c>
      <c r="AT15" s="147">
        <v>0.69666473887355229</v>
      </c>
      <c r="AU15" s="147">
        <v>5.6472081218274114E-2</v>
      </c>
      <c r="AV15" s="147">
        <v>5.4092639593908629E-2</v>
      </c>
      <c r="AW15" s="147">
        <v>0.14013115459041067</v>
      </c>
      <c r="AX15" s="147">
        <v>8.4175446140614923E-2</v>
      </c>
      <c r="AY15" s="147">
        <v>0.50095306696678765</v>
      </c>
      <c r="AZ15" s="162">
        <v>102.3397481035317</v>
      </c>
      <c r="BA15" s="177">
        <v>287.76806195038438</v>
      </c>
      <c r="BB15" s="9"/>
      <c r="BC15" s="150" t="s">
        <v>161</v>
      </c>
      <c r="BD15" s="151">
        <v>0.3182588075880759</v>
      </c>
      <c r="BE15" s="151">
        <v>0.45519677093844602</v>
      </c>
      <c r="BF15" s="151">
        <v>0.39420289855072466</v>
      </c>
      <c r="BG15" s="151">
        <v>0.60746720484359229</v>
      </c>
      <c r="BH15" s="151">
        <v>0.97779933297896848</v>
      </c>
      <c r="BI15" s="151">
        <v>0.11882066060740412</v>
      </c>
      <c r="BJ15" s="151">
        <v>1.5517623586787852E-2</v>
      </c>
      <c r="BK15" s="151">
        <v>0.17255297679112008</v>
      </c>
      <c r="BL15" s="151">
        <v>0.17618567103935417</v>
      </c>
      <c r="BM15" s="151">
        <v>0.58414569177108189</v>
      </c>
      <c r="BN15" s="165">
        <v>116.80577719877662</v>
      </c>
      <c r="BO15" s="168">
        <v>564.42185916314088</v>
      </c>
      <c r="BP15" s="9"/>
    </row>
    <row r="16" spans="1:68" x14ac:dyDescent="0.2">
      <c r="A16" s="9"/>
      <c r="B16" s="3">
        <v>1974</v>
      </c>
      <c r="C16" s="51" t="s">
        <v>161</v>
      </c>
      <c r="D16" s="26">
        <v>0.88200000000000001</v>
      </c>
      <c r="E16" s="71">
        <f>(T16-W16)/(R16-W16-Z16+AD16)</f>
        <v>0.3182588075880759</v>
      </c>
      <c r="F16" s="71">
        <f>AA16/Q16</f>
        <v>0.45519677093844602</v>
      </c>
      <c r="G16" s="71">
        <f>(U16+V16+W16)/T16</f>
        <v>0.39420289855072466</v>
      </c>
      <c r="H16" s="71">
        <f>(AA16+X16)/Q16</f>
        <v>0.60746720484359229</v>
      </c>
      <c r="I16" s="71">
        <f>(AA16/R16)+((T16+Y16+AB16)/(R16+Y16+AB16+AD16))</f>
        <v>0.97779933297896848</v>
      </c>
      <c r="J16" s="71">
        <f>W16/AA16</f>
        <v>0.11882066060740412</v>
      </c>
      <c r="K16" s="71">
        <f>(AC16+AD16)/AA16</f>
        <v>1.5517623586787852E-2</v>
      </c>
      <c r="L16" s="71">
        <f>Z16/Q16</f>
        <v>0.17255297679112008</v>
      </c>
      <c r="M16" s="71">
        <f>(Y16+AB16)/Q16</f>
        <v>0.17618567103935417</v>
      </c>
      <c r="N16" s="57">
        <f>(E16*0.7635+F16*0.7562+G16*0.75+H16*0.7248+I16*0.7021+J16*0.6285+1-K16*0.5884+1-L16*0.5276+M16*0.3663)/6.931</f>
        <v>0.58414569177108189</v>
      </c>
      <c r="O16" s="64">
        <f>N16/0.5001*100</f>
        <v>116.80577719877662</v>
      </c>
      <c r="P16" s="155">
        <f>(O16-100)/100*Q16*0.3389</f>
        <v>564.42185916314088</v>
      </c>
      <c r="Q16" s="54">
        <v>9910</v>
      </c>
      <c r="R16" s="21">
        <f>Q16-Y16-AB16-AC16-AD16</f>
        <v>8094</v>
      </c>
      <c r="S16" s="20" t="s">
        <v>19</v>
      </c>
      <c r="T16" s="19">
        <v>2415</v>
      </c>
      <c r="U16" s="19">
        <v>344</v>
      </c>
      <c r="V16" s="19">
        <v>72</v>
      </c>
      <c r="W16" s="19">
        <v>536</v>
      </c>
      <c r="X16" s="19">
        <v>1509</v>
      </c>
      <c r="Y16" s="54">
        <v>1733</v>
      </c>
      <c r="Z16" s="19">
        <v>1710</v>
      </c>
      <c r="AA16" s="54">
        <f>T16+U16+V16*2+W16*3</f>
        <v>4511</v>
      </c>
      <c r="AB16" s="19">
        <v>13</v>
      </c>
      <c r="AC16" s="19">
        <v>14</v>
      </c>
      <c r="AD16" s="21">
        <v>56</v>
      </c>
      <c r="AE16" s="9"/>
      <c r="AF16" s="6">
        <v>2007</v>
      </c>
      <c r="AG16" s="77">
        <v>4.8758634949078318E-2</v>
      </c>
      <c r="AH16" s="85">
        <v>0.52253591025770185</v>
      </c>
      <c r="AI16" s="86">
        <v>0.48593274358545985</v>
      </c>
      <c r="AJ16" s="76">
        <v>4.9728824162482838E-3</v>
      </c>
      <c r="AK16" s="41">
        <v>9.2999999999999992E-3</v>
      </c>
      <c r="AL16" s="42">
        <v>8.1644338177210632E-3</v>
      </c>
      <c r="AM16" s="78">
        <v>7.6400000000000001E-3</v>
      </c>
      <c r="AN16" s="9"/>
      <c r="AO16" s="146" t="s">
        <v>237</v>
      </c>
      <c r="AP16" s="147">
        <v>0.27149093351242443</v>
      </c>
      <c r="AQ16" s="147">
        <v>0.32757107164562088</v>
      </c>
      <c r="AR16" s="147">
        <v>0.23663681017047097</v>
      </c>
      <c r="AS16" s="147">
        <v>0.42075764737659532</v>
      </c>
      <c r="AT16" s="147">
        <v>0.64449774079709599</v>
      </c>
      <c r="AU16" s="147">
        <v>4.6794475365903934E-2</v>
      </c>
      <c r="AV16" s="147">
        <v>6.7821067821067824E-2</v>
      </c>
      <c r="AW16" s="147">
        <v>0.11324194746437977</v>
      </c>
      <c r="AX16" s="147">
        <v>5.2535620230940647E-2</v>
      </c>
      <c r="AY16" s="147">
        <v>0.51148003758175409</v>
      </c>
      <c r="AZ16" s="162">
        <v>102.913488447033</v>
      </c>
      <c r="BA16" s="177">
        <v>285.23721707447078</v>
      </c>
      <c r="BB16" s="9"/>
      <c r="BC16" s="150" t="s">
        <v>216</v>
      </c>
      <c r="BD16" s="151">
        <v>0.30416940249507551</v>
      </c>
      <c r="BE16" s="151">
        <v>0.51459854014598538</v>
      </c>
      <c r="BF16" s="151">
        <v>0.39792231255645888</v>
      </c>
      <c r="BG16" s="151">
        <v>0.71493743482794581</v>
      </c>
      <c r="BH16" s="151">
        <v>0.98204091386130121</v>
      </c>
      <c r="BI16" s="151">
        <v>9.1438703140830802E-2</v>
      </c>
      <c r="BJ16" s="151">
        <v>1.8490374873353598E-2</v>
      </c>
      <c r="BK16" s="151">
        <v>4.8096976016684043E-2</v>
      </c>
      <c r="BL16" s="151">
        <v>0.10896767466110532</v>
      </c>
      <c r="BM16" s="151">
        <v>0.60433133035586994</v>
      </c>
      <c r="BN16" s="165">
        <v>121.01147984699037</v>
      </c>
      <c r="BO16" s="168">
        <v>546.30704870552711</v>
      </c>
      <c r="BP16" s="9"/>
    </row>
    <row r="17" spans="1:68" x14ac:dyDescent="0.2">
      <c r="A17" s="9"/>
      <c r="B17" s="3">
        <v>1955</v>
      </c>
      <c r="C17" s="51" t="s">
        <v>216</v>
      </c>
      <c r="D17" s="26">
        <v>0.88800000000000001</v>
      </c>
      <c r="E17" s="71">
        <f>(T17-W17)/(R17-W17-Z17+AD17)</f>
        <v>0.30416940249507551</v>
      </c>
      <c r="F17" s="71">
        <f>AA17/Q17</f>
        <v>0.51459854014598538</v>
      </c>
      <c r="G17" s="71">
        <f>(U17+V17+W17)/T17</f>
        <v>0.39792231255645888</v>
      </c>
      <c r="H17" s="71">
        <f>(AA17+X17)/Q17</f>
        <v>0.71493743482794581</v>
      </c>
      <c r="I17" s="71">
        <f>(AA17/R17)+((T17+Y17+AB17)/(R17+Y17+AB17+AD17))</f>
        <v>0.98204091386130121</v>
      </c>
      <c r="J17" s="71">
        <f>W17/AA17</f>
        <v>9.1438703140830802E-2</v>
      </c>
      <c r="K17" s="71">
        <f>(AC17+AD17)/AA17</f>
        <v>1.8490374873353598E-2</v>
      </c>
      <c r="L17" s="71">
        <f>Z17/Q17</f>
        <v>4.8096976016684043E-2</v>
      </c>
      <c r="M17" s="71">
        <f>(Y17+AB17)/Q17</f>
        <v>0.10896767466110532</v>
      </c>
      <c r="N17" s="57">
        <f>(E17*0.7635+F17*0.7562+G17*0.75+H17*0.7248+I17*0.7021+J17*0.6285+1-K17*0.5884+1-L17*0.5276+M17*0.3663)/6.931</f>
        <v>0.60433133035586994</v>
      </c>
      <c r="O17" s="64">
        <f>N17/0.4994*100</f>
        <v>121.01147984699037</v>
      </c>
      <c r="P17" s="155">
        <f>(O17-100)/100*Q17*0.3389</f>
        <v>546.30704870552711</v>
      </c>
      <c r="Q17" s="54">
        <v>7672</v>
      </c>
      <c r="R17" s="21">
        <f>Q17-Y17-AB17-AC17-AD17</f>
        <v>6763</v>
      </c>
      <c r="S17" s="20" t="s">
        <v>19</v>
      </c>
      <c r="T17" s="19">
        <v>2214</v>
      </c>
      <c r="U17" s="19">
        <v>389</v>
      </c>
      <c r="V17" s="19">
        <v>131</v>
      </c>
      <c r="W17" s="19">
        <v>361</v>
      </c>
      <c r="X17" s="19">
        <v>1537</v>
      </c>
      <c r="Y17" s="54">
        <v>790</v>
      </c>
      <c r="Z17" s="19">
        <v>369</v>
      </c>
      <c r="AA17" s="54">
        <f>T17+U17+V17*2+W17*3</f>
        <v>3948</v>
      </c>
      <c r="AB17" s="19">
        <v>46</v>
      </c>
      <c r="AC17" s="19">
        <v>14</v>
      </c>
      <c r="AD17" s="21">
        <v>59</v>
      </c>
      <c r="AE17" s="9"/>
      <c r="AF17" s="6">
        <v>2006</v>
      </c>
      <c r="AG17" s="77">
        <v>4.8572081820163662E-2</v>
      </c>
      <c r="AH17" s="85">
        <v>0.52668968436169938</v>
      </c>
      <c r="AI17" s="86">
        <v>0.48333156827692997</v>
      </c>
      <c r="AJ17" s="76">
        <v>5.0619181053963664E-3</v>
      </c>
      <c r="AK17" s="41">
        <v>9.6600000000000002E-3</v>
      </c>
      <c r="AL17" s="42">
        <v>8.7785995714384467E-3</v>
      </c>
      <c r="AM17" s="78">
        <v>7.4200000000000004E-3</v>
      </c>
      <c r="AN17" s="9"/>
      <c r="AO17" s="146" t="s">
        <v>107</v>
      </c>
      <c r="AP17" s="147">
        <v>0.26219334112149534</v>
      </c>
      <c r="AQ17" s="147">
        <v>0.31111570034591357</v>
      </c>
      <c r="AR17" s="147">
        <v>0.29589524049357846</v>
      </c>
      <c r="AS17" s="147">
        <v>0.39754246476328153</v>
      </c>
      <c r="AT17" s="147">
        <v>0.62573193337702304</v>
      </c>
      <c r="AU17" s="147">
        <v>6.3060073016926649E-2</v>
      </c>
      <c r="AV17" s="147">
        <v>4.9452373050116162E-2</v>
      </c>
      <c r="AW17" s="147">
        <v>0.187929165160824</v>
      </c>
      <c r="AX17" s="147">
        <v>7.5687954979606592E-2</v>
      </c>
      <c r="AY17" s="147">
        <v>0.51283470746647197</v>
      </c>
      <c r="AZ17" s="162">
        <v>102.19902500328257</v>
      </c>
      <c r="BA17" s="177">
        <v>281.58176297280323</v>
      </c>
      <c r="BB17" s="9"/>
      <c r="BC17" s="150" t="s">
        <v>269</v>
      </c>
      <c r="BD17" s="151">
        <v>0.34478621291448519</v>
      </c>
      <c r="BE17" s="151">
        <v>0.42720672525792891</v>
      </c>
      <c r="BF17" s="151">
        <v>0.27813752698119026</v>
      </c>
      <c r="BG17" s="151">
        <v>0.57995796713794423</v>
      </c>
      <c r="BH17" s="151">
        <v>0.85005905028881656</v>
      </c>
      <c r="BI17" s="151">
        <v>1.8336314847942754E-2</v>
      </c>
      <c r="BJ17" s="151">
        <v>6.8425760286225407E-2</v>
      </c>
      <c r="BK17" s="151">
        <v>3.3148643484906384E-2</v>
      </c>
      <c r="BL17" s="151">
        <v>6.2094000764233853E-2</v>
      </c>
      <c r="BM17" s="151">
        <v>0.54661659254542294</v>
      </c>
      <c r="BN17" s="165">
        <v>115.34429047170774</v>
      </c>
      <c r="BO17" s="168">
        <v>544.35484667740809</v>
      </c>
      <c r="BP17" s="9"/>
    </row>
    <row r="18" spans="1:68" x14ac:dyDescent="0.2">
      <c r="A18" s="9"/>
      <c r="B18" s="3">
        <v>1937</v>
      </c>
      <c r="C18" s="51" t="s">
        <v>269</v>
      </c>
      <c r="D18" s="26">
        <v>0.83599999999999997</v>
      </c>
      <c r="E18" s="71">
        <f>(T18-W18)/(R18-W18-Z18+AD18)</f>
        <v>0.34478621291448519</v>
      </c>
      <c r="F18" s="71">
        <f>AA18/Q18</f>
        <v>0.42720672525792891</v>
      </c>
      <c r="G18" s="71">
        <f>(U18+V18+W18)/T18</f>
        <v>0.27813752698119026</v>
      </c>
      <c r="H18" s="71">
        <f>(AA18+X18)/Q18</f>
        <v>0.57995796713794423</v>
      </c>
      <c r="I18" s="71">
        <f>(AA18/R18)+((T18+Y18+AB18)/(R18+Y18+AB18+AD18))</f>
        <v>0.85005905028881656</v>
      </c>
      <c r="J18" s="71">
        <f>W18/AA18</f>
        <v>1.8336314847942754E-2</v>
      </c>
      <c r="K18" s="71">
        <f>(AC18+AD18)/AA18</f>
        <v>6.8425760286225407E-2</v>
      </c>
      <c r="L18" s="71">
        <f>Z18/Q18</f>
        <v>3.3148643484906384E-2</v>
      </c>
      <c r="M18" s="71">
        <f>(Y18+AB18)/Q18</f>
        <v>6.2094000764233853E-2</v>
      </c>
      <c r="N18" s="57">
        <f>(E18*0.7635+F18*0.7562+G18*0.75+H18*0.7248+I18*0.7021+J18*0.6285+1-K18*0.5884+1-L18*0.5276+M18*0.3663)/6.931</f>
        <v>0.54661659254542294</v>
      </c>
      <c r="O18" s="64">
        <f>N18/0.4739*100</f>
        <v>115.34429047170774</v>
      </c>
      <c r="P18" s="155">
        <f>(O18-100)/100*Q18*0.3389</f>
        <v>544.35484667740809</v>
      </c>
      <c r="Q18" s="54">
        <v>10468</v>
      </c>
      <c r="R18" s="21">
        <f>Q18-Y18-AB18-AC18-AD18</f>
        <v>9512</v>
      </c>
      <c r="S18" s="19" t="s">
        <v>19</v>
      </c>
      <c r="T18" s="19">
        <v>3243</v>
      </c>
      <c r="U18" s="19">
        <v>657</v>
      </c>
      <c r="V18" s="19">
        <v>163</v>
      </c>
      <c r="W18" s="19">
        <v>82</v>
      </c>
      <c r="X18" s="19">
        <v>1599</v>
      </c>
      <c r="Y18" s="54">
        <v>516</v>
      </c>
      <c r="Z18" s="19">
        <v>347</v>
      </c>
      <c r="AA18" s="54">
        <f>T18+U18+V18*2+W18*3</f>
        <v>4472</v>
      </c>
      <c r="AB18" s="19">
        <v>134</v>
      </c>
      <c r="AC18" s="19">
        <v>221</v>
      </c>
      <c r="AD18" s="21">
        <v>85</v>
      </c>
      <c r="AE18" s="9"/>
      <c r="AF18" s="6">
        <v>2005</v>
      </c>
      <c r="AG18" s="77">
        <v>4.7575848667682989E-2</v>
      </c>
      <c r="AH18" s="85">
        <v>0.52041670633403203</v>
      </c>
      <c r="AI18" s="86">
        <v>0.48725983089978531</v>
      </c>
      <c r="AJ18" s="76">
        <v>4.7667103257252059E-3</v>
      </c>
      <c r="AK18" s="41">
        <v>9.6500000000000006E-3</v>
      </c>
      <c r="AL18" s="42">
        <v>8.6960255942284161E-3</v>
      </c>
      <c r="AM18" s="78">
        <v>7.0600000000000003E-3</v>
      </c>
      <c r="AN18" s="9"/>
      <c r="AO18" s="146" t="s">
        <v>166</v>
      </c>
      <c r="AP18" s="147">
        <v>0.26099863444754495</v>
      </c>
      <c r="AQ18" s="147">
        <v>0.32790535838552543</v>
      </c>
      <c r="AR18" s="147">
        <v>0.25507246376811593</v>
      </c>
      <c r="AS18" s="147">
        <v>0.42143354210160056</v>
      </c>
      <c r="AT18" s="147">
        <v>0.65364779739446144</v>
      </c>
      <c r="AU18" s="147">
        <v>6.1403508771929821E-2</v>
      </c>
      <c r="AV18" s="147">
        <v>4.8245614035087717E-2</v>
      </c>
      <c r="AW18" s="147">
        <v>0.11983298538622129</v>
      </c>
      <c r="AX18" s="147">
        <v>6.8475991649269305E-2</v>
      </c>
      <c r="AY18" s="147">
        <v>0.50822341473436172</v>
      </c>
      <c r="AZ18" s="162">
        <v>101.93008719100716</v>
      </c>
      <c r="BA18" s="177">
        <v>275.03762737767545</v>
      </c>
      <c r="BB18" s="9"/>
      <c r="BC18" s="150" t="s">
        <v>213</v>
      </c>
      <c r="BD18" s="151">
        <v>0.32093231734648142</v>
      </c>
      <c r="BE18" s="151">
        <v>0.40734117647058826</v>
      </c>
      <c r="BF18" s="151">
        <v>0.2917933130699088</v>
      </c>
      <c r="BG18" s="151">
        <v>0.55068235294117651</v>
      </c>
      <c r="BH18" s="151">
        <v>0.81541544572797631</v>
      </c>
      <c r="BI18" s="151">
        <v>2.2412199630314232E-2</v>
      </c>
      <c r="BJ18" s="151">
        <v>7.5554528650646949E-2</v>
      </c>
      <c r="BK18" s="151">
        <v>5.4588235294117646E-2</v>
      </c>
      <c r="BL18" s="151">
        <v>7.3694117647058827E-2</v>
      </c>
      <c r="BM18" s="151">
        <v>0.53547383433320717</v>
      </c>
      <c r="BN18" s="165">
        <v>114.00337115886889</v>
      </c>
      <c r="BO18" s="168">
        <v>504.23513910994581</v>
      </c>
      <c r="BP18" s="9"/>
    </row>
    <row r="19" spans="1:68" x14ac:dyDescent="0.2">
      <c r="A19" s="9"/>
      <c r="B19" s="3">
        <v>2014</v>
      </c>
      <c r="C19" s="106" t="s">
        <v>44</v>
      </c>
      <c r="D19" s="98">
        <v>0.97199999999999998</v>
      </c>
      <c r="E19" s="99">
        <f>(T19-W19)/(R19-W19-Z19+AD19)</f>
        <v>0.28606005102374565</v>
      </c>
      <c r="F19" s="99">
        <f>AA19/Q19</f>
        <v>0.33152147299348711</v>
      </c>
      <c r="G19" s="99">
        <f>(U19+V19+W19)/T19</f>
        <v>0.26534066864155736</v>
      </c>
      <c r="H19" s="99">
        <f>(AA19+S19)/Q19</f>
        <v>0.42852945497282208</v>
      </c>
      <c r="I19" s="99">
        <f>(AA19/R19)+((T19+Y19+AB19)/(R19+Y19+AB19+AD19))</f>
        <v>0.64931417536537317</v>
      </c>
      <c r="J19" s="99">
        <f>W19/AA19</f>
        <v>5.2141802067946823E-2</v>
      </c>
      <c r="K19" s="99">
        <f>(AC19+AD19)/AA19</f>
        <v>5.8050221565731169E-2</v>
      </c>
      <c r="L19" s="99">
        <f>Z19/Q19</f>
        <v>0.16507516771950442</v>
      </c>
      <c r="M19" s="99">
        <f>(Y19+AB19)/Q19</f>
        <v>5.562900935311689E-2</v>
      </c>
      <c r="N19" s="100">
        <f>(1-E19*0.7635+1-F19*0.7562+1-G19*0.75+1-H19*0.7248+1-I19*0.7021+1-J19*0.6285+K19*0.5884+L19*0.5276+1-M19*0.3663)/11.068</f>
        <v>0.50899095232458735</v>
      </c>
      <c r="O19" s="101">
        <f>N19/0.4898*100</f>
        <v>103.91812011526895</v>
      </c>
      <c r="P19" s="102">
        <f>(O19-100)/100*Q19*0.6611</f>
        <v>528.95887500740048</v>
      </c>
      <c r="Q19" s="54">
        <v>20421</v>
      </c>
      <c r="R19" s="54">
        <f>Q19-Y19-AB19-AC19-AD19</f>
        <v>18892</v>
      </c>
      <c r="S19" s="19">
        <v>1981</v>
      </c>
      <c r="T19" s="19">
        <v>4726</v>
      </c>
      <c r="U19" s="19">
        <v>817</v>
      </c>
      <c r="V19" s="19">
        <v>84</v>
      </c>
      <c r="W19" s="19">
        <v>353</v>
      </c>
      <c r="X19" s="19" t="s">
        <v>19</v>
      </c>
      <c r="Y19" s="54">
        <v>999</v>
      </c>
      <c r="Z19" s="19">
        <v>3371</v>
      </c>
      <c r="AA19" s="54">
        <f>T19+U19+V19*2+W19*3</f>
        <v>6770</v>
      </c>
      <c r="AB19" s="19">
        <v>137</v>
      </c>
      <c r="AC19" s="19">
        <v>274</v>
      </c>
      <c r="AD19" s="19">
        <v>119</v>
      </c>
      <c r="AE19" s="9"/>
      <c r="AF19" s="6">
        <v>2004</v>
      </c>
      <c r="AG19" s="77">
        <v>4.7305862447557266E-2</v>
      </c>
      <c r="AH19" s="85">
        <v>0.524617865652383</v>
      </c>
      <c r="AI19" s="86">
        <v>0.48462898203499583</v>
      </c>
      <c r="AJ19" s="76">
        <v>4.7629402935201737E-3</v>
      </c>
      <c r="AK19" s="41">
        <v>9.8099999999999993E-3</v>
      </c>
      <c r="AL19" s="42">
        <v>9.1811243297142773E-3</v>
      </c>
      <c r="AM19" s="78">
        <v>7.2300000000000003E-3</v>
      </c>
      <c r="AN19" s="9"/>
      <c r="AO19" s="146" t="s">
        <v>218</v>
      </c>
      <c r="AP19" s="147">
        <v>0.29424165094862975</v>
      </c>
      <c r="AQ19" s="147">
        <v>0.3152822020746549</v>
      </c>
      <c r="AR19" s="147">
        <v>0.25044915558749553</v>
      </c>
      <c r="AS19" s="147">
        <v>0.4156660949113779</v>
      </c>
      <c r="AT19" s="147">
        <v>0.65396627565278576</v>
      </c>
      <c r="AU19" s="147">
        <v>3.3937823834196891E-2</v>
      </c>
      <c r="AV19" s="147">
        <v>7.7202072538860106E-2</v>
      </c>
      <c r="AW19" s="147">
        <v>0.165563995752675</v>
      </c>
      <c r="AX19" s="147">
        <v>7.2939638977374821E-2</v>
      </c>
      <c r="AY19" s="147">
        <v>0.51259471227660192</v>
      </c>
      <c r="AZ19" s="162">
        <v>103.34570812028265</v>
      </c>
      <c r="BA19" s="177">
        <v>270.79650635937816</v>
      </c>
      <c r="BB19" s="9"/>
      <c r="BC19" s="150" t="s">
        <v>101</v>
      </c>
      <c r="BD19" s="151">
        <v>0.27964836622988887</v>
      </c>
      <c r="BE19" s="151">
        <v>0.43768634466308887</v>
      </c>
      <c r="BF19" s="151">
        <v>0.45434198746642795</v>
      </c>
      <c r="BG19" s="151">
        <v>0.59620353806400317</v>
      </c>
      <c r="BH19" s="151">
        <v>0.9075496966826162</v>
      </c>
      <c r="BI19" s="151">
        <v>0.12443233424159855</v>
      </c>
      <c r="BJ19" s="151">
        <v>2.8156221616712079E-2</v>
      </c>
      <c r="BK19" s="151">
        <v>0.18713973365136155</v>
      </c>
      <c r="BL19" s="151">
        <v>0.15762273901808785</v>
      </c>
      <c r="BM19" s="151">
        <v>0.5735400787158651</v>
      </c>
      <c r="BN19" s="165">
        <v>114.59342232085218</v>
      </c>
      <c r="BO19" s="168">
        <v>497.63742316489328</v>
      </c>
      <c r="BP19" s="9"/>
    </row>
    <row r="20" spans="1:68" x14ac:dyDescent="0.2">
      <c r="A20" s="9"/>
      <c r="B20" s="3">
        <v>1957</v>
      </c>
      <c r="C20" s="51" t="s">
        <v>213</v>
      </c>
      <c r="D20" s="26" t="s">
        <v>19</v>
      </c>
      <c r="E20" s="71">
        <f>(T20-W20)/(R20-W20-Z20+AD20)</f>
        <v>0.32093231734648142</v>
      </c>
      <c r="F20" s="71">
        <f>AA20/Q20</f>
        <v>0.40734117647058826</v>
      </c>
      <c r="G20" s="71">
        <f>(U20+V20+W20)/T20</f>
        <v>0.2917933130699088</v>
      </c>
      <c r="H20" s="71">
        <f>(AA20+X20)/Q20</f>
        <v>0.55068235294117651</v>
      </c>
      <c r="I20" s="71">
        <f>(AA20/R20)+((T20+Y20+AB20)/(R20+Y20+AB20+AD20))</f>
        <v>0.81541544572797631</v>
      </c>
      <c r="J20" s="71">
        <f>W20/AA20</f>
        <v>2.2412199630314232E-2</v>
      </c>
      <c r="K20" s="71">
        <f>(AC20+AD20)/AA20</f>
        <v>7.5554528650646949E-2</v>
      </c>
      <c r="L20" s="71">
        <f>Z20/Q20</f>
        <v>5.4588235294117646E-2</v>
      </c>
      <c r="M20" s="71">
        <f>(Y20+AB20)/Q20</f>
        <v>7.3694117647058827E-2</v>
      </c>
      <c r="N20" s="57">
        <f>(E20*0.7635+F20*0.7562+G20*0.75+H20*0.7248+I20*0.7021+J20*0.6285+1-K20*0.5884+1-L20*0.5276+M20*0.3663)/6.931</f>
        <v>0.53547383433320717</v>
      </c>
      <c r="O20" s="64">
        <f>N20/0.4697*100</f>
        <v>114.00337115886889</v>
      </c>
      <c r="P20" s="155">
        <f>(O20-100)/100*Q20*0.3389</f>
        <v>504.23513910994581</v>
      </c>
      <c r="Q20" s="54">
        <v>10625</v>
      </c>
      <c r="R20" s="21">
        <f>Q20-Y20-AB20-AC20-AD20</f>
        <v>9515</v>
      </c>
      <c r="S20" s="20" t="s">
        <v>19</v>
      </c>
      <c r="T20" s="19">
        <v>2961</v>
      </c>
      <c r="U20" s="19">
        <v>458</v>
      </c>
      <c r="V20" s="19">
        <v>309</v>
      </c>
      <c r="W20" s="19">
        <v>97</v>
      </c>
      <c r="X20" s="19">
        <v>1523</v>
      </c>
      <c r="Y20" s="54">
        <v>760</v>
      </c>
      <c r="Z20" s="19">
        <v>580</v>
      </c>
      <c r="AA20" s="54">
        <f>T20+U20+V20*2+W20*3</f>
        <v>4328</v>
      </c>
      <c r="AB20" s="19">
        <v>23</v>
      </c>
      <c r="AC20" s="19">
        <v>241</v>
      </c>
      <c r="AD20" s="21">
        <v>86</v>
      </c>
      <c r="AE20" s="9"/>
      <c r="AF20" s="6">
        <v>2003</v>
      </c>
      <c r="AG20" s="77">
        <v>4.7090141851917053E-2</v>
      </c>
      <c r="AH20" s="85">
        <v>0.52222897637145071</v>
      </c>
      <c r="AI20" s="86">
        <v>0.48612495164162228</v>
      </c>
      <c r="AJ20" s="76">
        <v>4.9826886246392352E-3</v>
      </c>
      <c r="AK20" s="41">
        <v>9.8600000000000007E-3</v>
      </c>
      <c r="AL20" s="42">
        <v>8.6743594257638074E-3</v>
      </c>
      <c r="AM20" s="78">
        <v>7.1300000000000001E-3</v>
      </c>
      <c r="AN20" s="9"/>
      <c r="AO20" s="146" t="s">
        <v>170</v>
      </c>
      <c r="AP20" s="147">
        <v>0.2592406756982773</v>
      </c>
      <c r="AQ20" s="147">
        <v>0.28745919764136041</v>
      </c>
      <c r="AR20" s="147">
        <v>0.29703534777651081</v>
      </c>
      <c r="AS20" s="147">
        <v>0.37232810361166685</v>
      </c>
      <c r="AT20" s="147">
        <v>0.5944262531260619</v>
      </c>
      <c r="AU20" s="147">
        <v>7.4725274725274723E-2</v>
      </c>
      <c r="AV20" s="147">
        <v>4.2124542124542128E-2</v>
      </c>
      <c r="AW20" s="147">
        <v>0.25229019690428556</v>
      </c>
      <c r="AX20" s="147">
        <v>8.792250184268717E-2</v>
      </c>
      <c r="AY20" s="147">
        <v>0.51982562767266105</v>
      </c>
      <c r="AZ20" s="162">
        <v>104.25704526126376</v>
      </c>
      <c r="BA20" s="177">
        <v>267.27716913237288</v>
      </c>
      <c r="BB20" s="9"/>
      <c r="BC20" s="150" t="s">
        <v>252</v>
      </c>
      <c r="BD20" s="151">
        <v>0.34912559618441974</v>
      </c>
      <c r="BE20" s="151">
        <v>0.45481731894422051</v>
      </c>
      <c r="BF20" s="151">
        <v>0.33651758575770735</v>
      </c>
      <c r="BG20" s="151">
        <v>0.6239760759329086</v>
      </c>
      <c r="BH20" s="151">
        <v>0.95717444479426517</v>
      </c>
      <c r="BI20" s="151">
        <v>3.0588907947398512E-2</v>
      </c>
      <c r="BJ20" s="151">
        <v>6.146369353916524E-2</v>
      </c>
      <c r="BK20" s="151">
        <v>3.0945260694318032E-2</v>
      </c>
      <c r="BL20" s="151">
        <v>0.11714991548563256</v>
      </c>
      <c r="BM20" s="151">
        <v>0.57665757639352044</v>
      </c>
      <c r="BN20" s="165">
        <v>118.77601985448413</v>
      </c>
      <c r="BO20" s="168">
        <v>489.39318352713815</v>
      </c>
      <c r="BP20" s="9"/>
    </row>
    <row r="21" spans="1:68" x14ac:dyDescent="0.2">
      <c r="A21" s="9"/>
      <c r="B21" s="3">
        <v>1995</v>
      </c>
      <c r="C21" s="51" t="s">
        <v>101</v>
      </c>
      <c r="D21" s="26">
        <v>0.96499999999999997</v>
      </c>
      <c r="E21" s="71">
        <f>(T21-W21)/(R21-W21-Z21+AD21)</f>
        <v>0.27964836622988887</v>
      </c>
      <c r="F21" s="71">
        <f>AA21/Q21</f>
        <v>0.43768634466308887</v>
      </c>
      <c r="G21" s="71">
        <f>(U21+V21+W21)/T21</f>
        <v>0.45434198746642795</v>
      </c>
      <c r="H21" s="71">
        <f>(AA21+X21)/Q21</f>
        <v>0.59620353806400317</v>
      </c>
      <c r="I21" s="71">
        <f>(AA21/R21)+((T21+Y21+AB21)/(R21+Y21+AB21+AD21))</f>
        <v>0.9075496966826162</v>
      </c>
      <c r="J21" s="71">
        <f>W21/AA21</f>
        <v>0.12443233424159855</v>
      </c>
      <c r="K21" s="71">
        <f>(AC21+AD21)/AA21</f>
        <v>2.8156221616712079E-2</v>
      </c>
      <c r="L21" s="71">
        <f>Z21/Q21</f>
        <v>0.18713973365136155</v>
      </c>
      <c r="M21" s="71">
        <f>(Y21+AB21)/Q21</f>
        <v>0.15762273901808785</v>
      </c>
      <c r="N21" s="57">
        <f>(E21*0.7635+F21*0.7562+G21*0.75+H21*0.7248+I21*0.7021+J21*0.6285+1-K21*0.5884+1-L21*0.5276+M21*0.3663)/6.931</f>
        <v>0.5735400787158651</v>
      </c>
      <c r="O21" s="64">
        <f>N21/0.5005*100</f>
        <v>114.59342232085218</v>
      </c>
      <c r="P21" s="155">
        <f>(O21-100)/100*Q21*0.3389</f>
        <v>497.63742316489328</v>
      </c>
      <c r="Q21" s="54">
        <v>10062</v>
      </c>
      <c r="R21" s="54">
        <f>Q21-Y21-AB21-AC21-AD21</f>
        <v>8352</v>
      </c>
      <c r="S21" s="20" t="s">
        <v>19</v>
      </c>
      <c r="T21" s="19">
        <v>2234</v>
      </c>
      <c r="U21" s="19">
        <v>408</v>
      </c>
      <c r="V21" s="19">
        <v>59</v>
      </c>
      <c r="W21" s="19">
        <v>548</v>
      </c>
      <c r="X21" s="19">
        <v>1595</v>
      </c>
      <c r="Y21" s="54">
        <v>1507</v>
      </c>
      <c r="Z21" s="19">
        <v>1883</v>
      </c>
      <c r="AA21" s="54">
        <f>T21+U21+V21*2+W21*3</f>
        <v>4404</v>
      </c>
      <c r="AB21" s="19">
        <v>79</v>
      </c>
      <c r="AC21" s="19">
        <v>16</v>
      </c>
      <c r="AD21" s="19">
        <v>108</v>
      </c>
      <c r="AE21" s="9"/>
      <c r="AF21" s="6">
        <v>2002</v>
      </c>
      <c r="AG21" s="77">
        <v>4.6620046620046623E-2</v>
      </c>
      <c r="AH21" s="85">
        <v>0.51943315474021379</v>
      </c>
      <c r="AI21" s="86">
        <v>0.48787575031582736</v>
      </c>
      <c r="AJ21" s="76">
        <v>4.9352945904670041E-3</v>
      </c>
      <c r="AK21" s="41">
        <v>9.3600000000000003E-3</v>
      </c>
      <c r="AL21" s="42">
        <v>8.750636336843233E-3</v>
      </c>
      <c r="AM21" s="78">
        <v>7.4999999999999997E-3</v>
      </c>
      <c r="AN21" s="9"/>
      <c r="AO21" s="146" t="s">
        <v>183</v>
      </c>
      <c r="AP21" s="147">
        <v>0.26973164956590373</v>
      </c>
      <c r="AQ21" s="147">
        <v>0.2760598852665454</v>
      </c>
      <c r="AR21" s="147">
        <v>0.28632175761871015</v>
      </c>
      <c r="AS21" s="147">
        <v>0.36490835315517001</v>
      </c>
      <c r="AT21" s="147">
        <v>0.57151222930324774</v>
      </c>
      <c r="AU21" s="147">
        <v>2.2301064368981247E-2</v>
      </c>
      <c r="AV21" s="147">
        <v>9.3258996452103393E-2</v>
      </c>
      <c r="AW21" s="147">
        <v>0.20120330208479081</v>
      </c>
      <c r="AX21" s="147">
        <v>6.5482020428151669E-2</v>
      </c>
      <c r="AY21" s="147">
        <v>0.52654896496176162</v>
      </c>
      <c r="AZ21" s="162">
        <v>105.62667301138649</v>
      </c>
      <c r="BA21" s="177">
        <v>265.85364343383901</v>
      </c>
      <c r="BB21" s="9"/>
      <c r="BC21" s="150" t="s">
        <v>264</v>
      </c>
      <c r="BD21" s="151">
        <v>0.34774455672465882</v>
      </c>
      <c r="BE21" s="151">
        <v>0.4052599064513282</v>
      </c>
      <c r="BF21" s="151">
        <v>0.23901018922852985</v>
      </c>
      <c r="BG21" s="151">
        <v>0.58838584414438266</v>
      </c>
      <c r="BH21" s="151">
        <v>0.86848795615566399</v>
      </c>
      <c r="BI21" s="151">
        <v>2.1123693379790941E-2</v>
      </c>
      <c r="BJ21" s="151">
        <v>6.9033101045296169E-2</v>
      </c>
      <c r="BK21" s="151">
        <v>2.9123643102991793E-2</v>
      </c>
      <c r="BL21" s="151">
        <v>9.5048980672491401E-2</v>
      </c>
      <c r="BM21" s="151">
        <v>0.54531143821169392</v>
      </c>
      <c r="BN21" s="165">
        <v>112.6909357742703</v>
      </c>
      <c r="BO21" s="168">
        <v>487.34156615223225</v>
      </c>
      <c r="BP21" s="9"/>
    </row>
    <row r="22" spans="1:68" x14ac:dyDescent="0.2">
      <c r="A22" s="9"/>
      <c r="B22" s="3">
        <v>1945</v>
      </c>
      <c r="C22" s="51" t="s">
        <v>252</v>
      </c>
      <c r="D22" s="26" t="s">
        <v>19</v>
      </c>
      <c r="E22" s="71">
        <f>(T22-W22)/(R22-W22-Z22+AD22)</f>
        <v>0.34912559618441974</v>
      </c>
      <c r="F22" s="71">
        <f>AA22/Q22</f>
        <v>0.45481731894422051</v>
      </c>
      <c r="G22" s="71">
        <f>(U22+V22+W22)/T22</f>
        <v>0.33651758575770735</v>
      </c>
      <c r="H22" s="71">
        <f>(AA22+X22)/Q22</f>
        <v>0.6239760759329086</v>
      </c>
      <c r="I22" s="71">
        <f>(AA22/R22)+((T22+Y22+AB22)/(R22+Y22+AB22+AD22))</f>
        <v>0.95717444479426517</v>
      </c>
      <c r="J22" s="71">
        <f>W22/AA22</f>
        <v>3.0588907947398512E-2</v>
      </c>
      <c r="K22" s="71">
        <f>(AC22+AD22)/AA22</f>
        <v>6.146369353916524E-2</v>
      </c>
      <c r="L22" s="71">
        <f>Z22/Q22</f>
        <v>3.0945260694318032E-2</v>
      </c>
      <c r="M22" s="71">
        <f>(Y22+AB22)/Q22</f>
        <v>0.11714991548563256</v>
      </c>
      <c r="N22" s="57">
        <f>(E22*0.7635+F22*0.7562+G22*0.75+H22*0.7248+I22*0.7021+J22*0.6285+1-K22*0.5884+1-L22*0.5276+M22*0.3663)/6.931</f>
        <v>0.57665757639352044</v>
      </c>
      <c r="O22" s="64">
        <f>N22/0.4855*100</f>
        <v>118.77601985448413</v>
      </c>
      <c r="P22" s="155">
        <f>(O22-100)/100*Q22*0.3389</f>
        <v>489.39318352713815</v>
      </c>
      <c r="Q22" s="54">
        <v>7691</v>
      </c>
      <c r="R22" s="21">
        <f>Q22-Y22-AB22-AC22-AD22</f>
        <v>6575</v>
      </c>
      <c r="S22" s="19" t="s">
        <v>19</v>
      </c>
      <c r="T22" s="19">
        <v>2303</v>
      </c>
      <c r="U22" s="19">
        <v>462</v>
      </c>
      <c r="V22" s="19">
        <v>206</v>
      </c>
      <c r="W22" s="19">
        <v>107</v>
      </c>
      <c r="X22" s="19">
        <v>1301</v>
      </c>
      <c r="Y22" s="54">
        <v>840</v>
      </c>
      <c r="Z22" s="19">
        <v>238</v>
      </c>
      <c r="AA22" s="54">
        <f>T22+U22+V22*2+W22*3</f>
        <v>3498</v>
      </c>
      <c r="AB22" s="21">
        <v>61</v>
      </c>
      <c r="AC22" s="21">
        <v>155</v>
      </c>
      <c r="AD22" s="21">
        <v>60</v>
      </c>
      <c r="AE22" s="9"/>
      <c r="AF22" s="6">
        <v>2001</v>
      </c>
      <c r="AG22" s="77">
        <v>4.7134391579667978E-2</v>
      </c>
      <c r="AH22" s="85">
        <v>0.52408169181542585</v>
      </c>
      <c r="AI22" s="86">
        <v>0.48496474467178197</v>
      </c>
      <c r="AJ22" s="76">
        <v>4.9632038336470995E-3</v>
      </c>
      <c r="AK22" s="41">
        <v>1.0109999999999999E-2</v>
      </c>
      <c r="AL22" s="42">
        <v>8.5946859489988026E-3</v>
      </c>
      <c r="AM22" s="78">
        <v>7.62E-3</v>
      </c>
      <c r="AN22" s="9"/>
      <c r="AO22" s="146" t="s">
        <v>268</v>
      </c>
      <c r="AP22" s="147">
        <v>0.27320785407226678</v>
      </c>
      <c r="AQ22" s="147">
        <v>0.31311922653520319</v>
      </c>
      <c r="AR22" s="147">
        <v>0.22966310599835663</v>
      </c>
      <c r="AS22" s="147">
        <v>0.40176135547791125</v>
      </c>
      <c r="AT22" s="147">
        <v>0.62268404062170446</v>
      </c>
      <c r="AU22" s="147">
        <v>2.5221644756955059E-2</v>
      </c>
      <c r="AV22" s="147">
        <v>6.8327728523387338E-2</v>
      </c>
      <c r="AW22" s="147">
        <v>0.10520269946872159</v>
      </c>
      <c r="AX22" s="147">
        <v>4.8868041927918444E-2</v>
      </c>
      <c r="AY22" s="147">
        <v>0.51643941377440938</v>
      </c>
      <c r="AZ22" s="162">
        <v>101.92212626295823</v>
      </c>
      <c r="BA22" s="177">
        <v>265.49104330324144</v>
      </c>
      <c r="BB22" s="9"/>
      <c r="BC22" s="150" t="s">
        <v>118</v>
      </c>
      <c r="BD22" s="151">
        <v>0.31419885550786836</v>
      </c>
      <c r="BE22" s="151">
        <v>0.46416306635648608</v>
      </c>
      <c r="BF22" s="151">
        <v>0.42697132616487454</v>
      </c>
      <c r="BG22" s="151">
        <v>0.63476237952808245</v>
      </c>
      <c r="BH22" s="151">
        <v>0.88856422148415359</v>
      </c>
      <c r="BI22" s="151">
        <v>0.11336515513126491</v>
      </c>
      <c r="BJ22" s="151">
        <v>2.0047732696897375E-2</v>
      </c>
      <c r="BK22" s="151">
        <v>0.21446770798714967</v>
      </c>
      <c r="BL22" s="151">
        <v>0.11244045640855212</v>
      </c>
      <c r="BM22" s="151">
        <v>0.57459873534818129</v>
      </c>
      <c r="BN22" s="165">
        <v>115.91663008839647</v>
      </c>
      <c r="BO22" s="168">
        <v>486.92955372915935</v>
      </c>
      <c r="BP22" s="9"/>
    </row>
    <row r="23" spans="1:68" x14ac:dyDescent="0.2">
      <c r="A23" s="9"/>
      <c r="B23" s="3">
        <v>1939</v>
      </c>
      <c r="C23" s="51" t="s">
        <v>264</v>
      </c>
      <c r="D23" s="26" t="s">
        <v>19</v>
      </c>
      <c r="E23" s="71">
        <f>(T23-W23)/(R23-W23-Z23+AD23)</f>
        <v>0.34774455672465882</v>
      </c>
      <c r="F23" s="71">
        <f>AA23/Q23</f>
        <v>0.4052599064513282</v>
      </c>
      <c r="G23" s="71">
        <f>(U23+V23+W23)/T23</f>
        <v>0.23901018922852985</v>
      </c>
      <c r="H23" s="71">
        <f>(AA23+X23)/Q23</f>
        <v>0.58838584414438266</v>
      </c>
      <c r="I23" s="71">
        <f>(AA23/R23)+((T23+Y23+AB23)/(R23+Y23+AB23+AD23))</f>
        <v>0.86848795615566399</v>
      </c>
      <c r="J23" s="71">
        <f>W23/AA23</f>
        <v>2.1123693379790941E-2</v>
      </c>
      <c r="K23" s="71">
        <f>(AC23+AD23)/AA23</f>
        <v>6.9033101045296169E-2</v>
      </c>
      <c r="L23" s="71">
        <f>Z23/Q23</f>
        <v>2.9123643102991793E-2</v>
      </c>
      <c r="M23" s="71">
        <f>(Y23+AB23)/Q23</f>
        <v>9.5048980672491401E-2</v>
      </c>
      <c r="N23" s="57">
        <f>(E23*0.7635+F23*0.7562+G23*0.75+H23*0.7248+I23*0.7021+J23*0.6285+1-K23*0.5884+1-L23*0.5276+M23*0.3663)/6.931</f>
        <v>0.54531143821169392</v>
      </c>
      <c r="O23" s="64">
        <f>N23/0.4839*100</f>
        <v>112.6909357742703</v>
      </c>
      <c r="P23" s="155">
        <f>(O23-100)/100*Q23*0.3389</f>
        <v>487.34156615223225</v>
      </c>
      <c r="Q23" s="54">
        <v>11331</v>
      </c>
      <c r="R23" s="21">
        <f>Q23-Y23-AB23-AC23-AD23</f>
        <v>9937</v>
      </c>
      <c r="S23" s="19" t="s">
        <v>19</v>
      </c>
      <c r="T23" s="19">
        <v>3435</v>
      </c>
      <c r="U23" s="19">
        <v>582</v>
      </c>
      <c r="V23" s="19">
        <v>142</v>
      </c>
      <c r="W23" s="19">
        <v>97</v>
      </c>
      <c r="X23" s="19">
        <v>2075</v>
      </c>
      <c r="Y23" s="54">
        <v>984</v>
      </c>
      <c r="Z23" s="19">
        <v>330</v>
      </c>
      <c r="AA23" s="54">
        <f>T23+U23+V23*2+W23*3</f>
        <v>4592</v>
      </c>
      <c r="AB23" s="21">
        <v>93</v>
      </c>
      <c r="AC23" s="21">
        <v>228</v>
      </c>
      <c r="AD23" s="21">
        <v>89</v>
      </c>
      <c r="AE23" s="9"/>
      <c r="AF23" s="6">
        <v>2000</v>
      </c>
      <c r="AG23" s="77">
        <v>4.678310321085246E-2</v>
      </c>
      <c r="AH23" s="85">
        <v>0.52957445975095985</v>
      </c>
      <c r="AI23" s="86">
        <v>0.48152506500416498</v>
      </c>
      <c r="AJ23" s="76">
        <v>5.0036528768376077E-3</v>
      </c>
      <c r="AK23" s="41">
        <v>8.2699999999999996E-3</v>
      </c>
      <c r="AL23" s="42">
        <v>8.5566668944239751E-3</v>
      </c>
      <c r="AM23" s="78">
        <v>7.9600000000000001E-3</v>
      </c>
      <c r="AN23" s="9"/>
      <c r="AO23" s="146" t="s">
        <v>162</v>
      </c>
      <c r="AP23" s="147">
        <v>0.26393510815307819</v>
      </c>
      <c r="AQ23" s="147">
        <v>0.30657662497122246</v>
      </c>
      <c r="AR23" s="147">
        <v>0.24909616775126536</v>
      </c>
      <c r="AS23" s="147">
        <v>0.39152789501956869</v>
      </c>
      <c r="AT23" s="147">
        <v>0.64068077205950336</v>
      </c>
      <c r="AU23" s="147">
        <v>5.7071339173967457E-2</v>
      </c>
      <c r="AV23" s="147">
        <v>4.3804755944931162E-2</v>
      </c>
      <c r="AW23" s="147">
        <v>0.15010359910981505</v>
      </c>
      <c r="AX23" s="147">
        <v>8.5488450617757658E-2</v>
      </c>
      <c r="AY23" s="147">
        <v>0.51355388580515804</v>
      </c>
      <c r="AZ23" s="162">
        <v>102.99917485061331</v>
      </c>
      <c r="BA23" s="177">
        <v>258.37273807931967</v>
      </c>
      <c r="BB23" s="9"/>
      <c r="BC23" s="150" t="s">
        <v>226</v>
      </c>
      <c r="BD23" s="151">
        <v>0.3393782383419689</v>
      </c>
      <c r="BE23" s="151">
        <v>0.49212184873949577</v>
      </c>
      <c r="BF23" s="151">
        <v>0.33993850358729072</v>
      </c>
      <c r="BG23" s="151">
        <v>0.68413865546218489</v>
      </c>
      <c r="BH23" s="151">
        <v>0.91869991714565069</v>
      </c>
      <c r="BI23" s="151">
        <v>6.5528281750266815E-2</v>
      </c>
      <c r="BJ23" s="151">
        <v>3.9274279615795091E-2</v>
      </c>
      <c r="BK23" s="151">
        <v>7.7415966386554624E-2</v>
      </c>
      <c r="BL23" s="151">
        <v>6.775210084033613E-2</v>
      </c>
      <c r="BM23" s="151">
        <v>0.58132204351676509</v>
      </c>
      <c r="BN23" s="165">
        <v>114.95393385737889</v>
      </c>
      <c r="BO23" s="168">
        <v>482.46295514209493</v>
      </c>
      <c r="BP23" s="9"/>
    </row>
    <row r="24" spans="1:68" x14ac:dyDescent="0.2">
      <c r="A24" s="9"/>
      <c r="B24" s="3">
        <v>1988</v>
      </c>
      <c r="C24" s="51" t="s">
        <v>118</v>
      </c>
      <c r="D24" s="26">
        <v>0.82399999999999995</v>
      </c>
      <c r="E24" s="71">
        <f>(T24-W24)/(R24-W24-Z24+AD24)</f>
        <v>0.31419885550786836</v>
      </c>
      <c r="F24" s="71">
        <f>AA24/Q24</f>
        <v>0.46416306635648608</v>
      </c>
      <c r="G24" s="71">
        <f>(U24+V24+W24)/T24</f>
        <v>0.42697132616487454</v>
      </c>
      <c r="H24" s="71">
        <f>(AA24+X24)/Q24</f>
        <v>0.63476237952808245</v>
      </c>
      <c r="I24" s="71">
        <f>(AA24/R24)+((T24+Y24+AB24)/(R24+Y24+AB24+AD24))</f>
        <v>0.88856422148415359</v>
      </c>
      <c r="J24" s="71">
        <f>W24/AA24</f>
        <v>0.11336515513126491</v>
      </c>
      <c r="K24" s="71">
        <f>(AC24+AD24)/AA24</f>
        <v>2.0047732696897375E-2</v>
      </c>
      <c r="L24" s="71">
        <f>Z24/Q24</f>
        <v>0.21446770798714967</v>
      </c>
      <c r="M24" s="71">
        <f>(Y24+AB24)/Q24</f>
        <v>0.11244045640855212</v>
      </c>
      <c r="N24" s="57">
        <f>(E24*0.7635+F24*0.7562+G24*0.75+H24*0.7248+I24*0.7021+J24*0.6285+1-K24*0.5884+1-L24*0.5276+M24*0.3663)/6.931</f>
        <v>0.57459873534818129</v>
      </c>
      <c r="O24" s="64">
        <f>N24/0.4957*100</f>
        <v>115.91663008839647</v>
      </c>
      <c r="P24" s="155">
        <f>(O24-100)/100*Q24*0.3389</f>
        <v>486.92955372915935</v>
      </c>
      <c r="Q24" s="54">
        <v>9027</v>
      </c>
      <c r="R24" s="54">
        <f>Q24-Y24-AB24-AC24-AD24</f>
        <v>7928</v>
      </c>
      <c r="S24" s="20" t="s">
        <v>19</v>
      </c>
      <c r="T24" s="19">
        <v>2232</v>
      </c>
      <c r="U24" s="19">
        <v>423</v>
      </c>
      <c r="V24" s="19">
        <v>55</v>
      </c>
      <c r="W24" s="19">
        <v>475</v>
      </c>
      <c r="X24" s="19">
        <v>1540</v>
      </c>
      <c r="Y24" s="54">
        <v>937</v>
      </c>
      <c r="Z24" s="19">
        <v>1936</v>
      </c>
      <c r="AA24" s="54">
        <f>T24+U24+V24*2+W24*3</f>
        <v>4190</v>
      </c>
      <c r="AB24" s="19">
        <v>78</v>
      </c>
      <c r="AC24" s="19">
        <v>9</v>
      </c>
      <c r="AD24" s="19">
        <v>75</v>
      </c>
      <c r="AE24" s="9"/>
      <c r="AF24" s="6">
        <v>1999</v>
      </c>
      <c r="AG24" s="77">
        <v>4.6074689496657738E-2</v>
      </c>
      <c r="AH24" s="85">
        <v>0.5277910814556559</v>
      </c>
      <c r="AI24" s="86">
        <v>0.48264185168330759</v>
      </c>
      <c r="AJ24" s="76">
        <v>4.907956055078759E-3</v>
      </c>
      <c r="AK24" s="41">
        <v>8.3199999999999993E-3</v>
      </c>
      <c r="AL24" s="42">
        <v>8.4558125803934799E-3</v>
      </c>
      <c r="AM24" s="78">
        <v>7.7200000000000003E-3</v>
      </c>
      <c r="AN24" s="9"/>
      <c r="AO24" s="146" t="s">
        <v>24</v>
      </c>
      <c r="AP24" s="147">
        <v>0.294189453125</v>
      </c>
      <c r="AQ24" s="147">
        <v>0.34685921857003632</v>
      </c>
      <c r="AR24" s="147">
        <v>0.28420256991685561</v>
      </c>
      <c r="AS24" s="147">
        <v>0.4474173828298042</v>
      </c>
      <c r="AT24" s="147">
        <v>0.66928996355328807</v>
      </c>
      <c r="AU24" s="147">
        <v>6.0280970625798215E-2</v>
      </c>
      <c r="AV24" s="147">
        <v>3.3205619412515965E-2</v>
      </c>
      <c r="AW24" s="147">
        <v>0.18756091078231593</v>
      </c>
      <c r="AX24" s="147">
        <v>5.9626118543457077E-2</v>
      </c>
      <c r="AY24" s="147">
        <v>0.50275664684344468</v>
      </c>
      <c r="AZ24" s="162">
        <v>103.12956858327071</v>
      </c>
      <c r="BA24" s="177">
        <v>233.52326580247811</v>
      </c>
      <c r="BB24" s="9"/>
      <c r="BC24" s="150" t="s">
        <v>121</v>
      </c>
      <c r="BD24" s="151">
        <v>0.27249274427603998</v>
      </c>
      <c r="BE24" s="151">
        <v>0.43530747007841519</v>
      </c>
      <c r="BF24" s="151">
        <v>0.41610131162369968</v>
      </c>
      <c r="BG24" s="151">
        <v>0.59574907139909206</v>
      </c>
      <c r="BH24" s="151">
        <v>0.88853689039406913</v>
      </c>
      <c r="BI24" s="151">
        <v>0.12348897843090779</v>
      </c>
      <c r="BJ24" s="151">
        <v>1.7776724342261199E-2</v>
      </c>
      <c r="BK24" s="151">
        <v>0.15992571192736277</v>
      </c>
      <c r="BL24" s="151">
        <v>0.14589352042921996</v>
      </c>
      <c r="BM24" s="151">
        <v>0.56862810125562724</v>
      </c>
      <c r="BN24" s="165">
        <v>114.45815242665604</v>
      </c>
      <c r="BO24" s="168">
        <v>474.8951927386006</v>
      </c>
      <c r="BP24" s="9"/>
    </row>
    <row r="25" spans="1:68" x14ac:dyDescent="0.2">
      <c r="A25" s="9"/>
      <c r="B25" s="3">
        <v>1953</v>
      </c>
      <c r="C25" s="51" t="s">
        <v>226</v>
      </c>
      <c r="D25" s="26">
        <v>0.754</v>
      </c>
      <c r="E25" s="71">
        <f>(T25-W25)/(R25-W25-Z25+AD25)</f>
        <v>0.3393782383419689</v>
      </c>
      <c r="F25" s="71">
        <f>AA25/Q25</f>
        <v>0.49212184873949577</v>
      </c>
      <c r="G25" s="71">
        <f>(U25+V25+W25)/T25</f>
        <v>0.33993850358729072</v>
      </c>
      <c r="H25" s="71">
        <f>(AA25+X25)/Q25</f>
        <v>0.68413865546218489</v>
      </c>
      <c r="I25" s="71">
        <f>(AA25/R25)+((T25+Y25+AB25)/(R25+Y25+AB25+AD25))</f>
        <v>0.91869991714565069</v>
      </c>
      <c r="J25" s="71">
        <f>W25/AA25</f>
        <v>6.5528281750266815E-2</v>
      </c>
      <c r="K25" s="71">
        <f>(AC25+AD25)/AA25</f>
        <v>3.9274279615795091E-2</v>
      </c>
      <c r="L25" s="71">
        <f>Z25/Q25</f>
        <v>7.7415966386554624E-2</v>
      </c>
      <c r="M25" s="71">
        <f>(Y25+AB25)/Q25</f>
        <v>6.775210084033613E-2</v>
      </c>
      <c r="N25" s="57">
        <f>(E25*0.7635+F25*0.7562+G25*0.75+H25*0.7248+I25*0.7021+J25*0.6285+1-K25*0.5884+1-L25*0.5276+M25*0.3663)/6.931</f>
        <v>0.58132204351676509</v>
      </c>
      <c r="O25" s="64">
        <f>N25/0.5057*100</f>
        <v>114.95393385737889</v>
      </c>
      <c r="P25" s="155">
        <f>(O25-100)/100*Q25*0.3389</f>
        <v>482.46295514209493</v>
      </c>
      <c r="Q25" s="54">
        <v>9520</v>
      </c>
      <c r="R25" s="21">
        <f>Q25-Y25-AB25-AC25-AD25</f>
        <v>8691</v>
      </c>
      <c r="S25" s="20" t="s">
        <v>19</v>
      </c>
      <c r="T25" s="19">
        <v>2927</v>
      </c>
      <c r="U25" s="19">
        <v>539</v>
      </c>
      <c r="V25" s="19">
        <v>149</v>
      </c>
      <c r="W25" s="19">
        <v>307</v>
      </c>
      <c r="X25" s="19">
        <v>1828</v>
      </c>
      <c r="Y25" s="54">
        <v>615</v>
      </c>
      <c r="Z25" s="19">
        <v>737</v>
      </c>
      <c r="AA25" s="54">
        <f>T25+U25+V25*2+W25*3</f>
        <v>4685</v>
      </c>
      <c r="AB25" s="19">
        <v>30</v>
      </c>
      <c r="AC25" s="19">
        <v>111</v>
      </c>
      <c r="AD25" s="21">
        <v>73</v>
      </c>
      <c r="AE25" s="9"/>
      <c r="AF25" s="6">
        <v>1998</v>
      </c>
      <c r="AG25" s="77">
        <v>4.6425536435096663E-2</v>
      </c>
      <c r="AH25" s="85">
        <v>0.52075501059617446</v>
      </c>
      <c r="AI25" s="86">
        <v>0.48704797809522182</v>
      </c>
      <c r="AJ25" s="76">
        <v>4.7748034841725087E-3</v>
      </c>
      <c r="AK25" s="41">
        <v>8.43E-3</v>
      </c>
      <c r="AL25" s="42">
        <v>9.0556617803271722E-3</v>
      </c>
      <c r="AM25" s="78">
        <v>7.45E-3</v>
      </c>
      <c r="AN25" s="9"/>
      <c r="AO25" s="146" t="s">
        <v>151</v>
      </c>
      <c r="AP25" s="147">
        <v>0.27268987081379081</v>
      </c>
      <c r="AQ25" s="147">
        <v>0.28572304297186291</v>
      </c>
      <c r="AR25" s="147">
        <v>0.25848332841546179</v>
      </c>
      <c r="AS25" s="147">
        <v>0.41249310365965797</v>
      </c>
      <c r="AT25" s="147">
        <v>0.65735204497340971</v>
      </c>
      <c r="AU25" s="147">
        <v>1.6090967603518559E-2</v>
      </c>
      <c r="AV25" s="147">
        <v>9.568762068225703E-2</v>
      </c>
      <c r="AW25" s="147">
        <v>0.11953656592901367</v>
      </c>
      <c r="AX25" s="147">
        <v>0.11150616073070557</v>
      </c>
      <c r="AY25" s="147">
        <v>0.51407529438900612</v>
      </c>
      <c r="AZ25" s="162">
        <v>102.140928748064</v>
      </c>
      <c r="BA25" s="177">
        <v>230.88898108064774</v>
      </c>
      <c r="BB25" s="9"/>
      <c r="BC25" s="150" t="s">
        <v>116</v>
      </c>
      <c r="BD25" s="151">
        <v>0.28949165772270463</v>
      </c>
      <c r="BE25" s="151">
        <v>0.39586906803887933</v>
      </c>
      <c r="BF25" s="151">
        <v>0.33840304182509506</v>
      </c>
      <c r="BG25" s="151">
        <v>0.52765866209262435</v>
      </c>
      <c r="BH25" s="151">
        <v>0.84143312188353314</v>
      </c>
      <c r="BI25" s="151">
        <v>8.1603177468857188E-2</v>
      </c>
      <c r="BJ25" s="151">
        <v>2.1303484383462717E-2</v>
      </c>
      <c r="BK25" s="151">
        <v>9.9556889651229274E-2</v>
      </c>
      <c r="BL25" s="151">
        <v>0.13471983990851916</v>
      </c>
      <c r="BM25" s="151">
        <v>0.54580534319098528</v>
      </c>
      <c r="BN25" s="165">
        <v>109.90844607148314</v>
      </c>
      <c r="BO25" s="168">
        <v>469.84749451769898</v>
      </c>
      <c r="BP25" s="9"/>
    </row>
    <row r="26" spans="1:68" x14ac:dyDescent="0.2">
      <c r="A26" s="9"/>
      <c r="B26" s="3">
        <v>1986</v>
      </c>
      <c r="C26" s="51" t="s">
        <v>121</v>
      </c>
      <c r="D26" s="26">
        <v>0.81399999999999995</v>
      </c>
      <c r="E26" s="72">
        <f>(T26-W26)/(R26-W26-Z26+AD26)</f>
        <v>0.27249274427603998</v>
      </c>
      <c r="F26" s="72">
        <f>AA26/Q26</f>
        <v>0.43530747007841519</v>
      </c>
      <c r="G26" s="72">
        <f>(U26+V26+W26)/T26</f>
        <v>0.41610131162369968</v>
      </c>
      <c r="H26" s="72">
        <f>(AA26+X26)/Q26</f>
        <v>0.59574907139909206</v>
      </c>
      <c r="I26" s="72">
        <f>(AA26/R26)+((T26+Y26+AB26)/(R26+Y26+AB26+AD26))</f>
        <v>0.88853689039406913</v>
      </c>
      <c r="J26" s="72">
        <f>W26/AA26</f>
        <v>0.12348897843090779</v>
      </c>
      <c r="K26" s="72">
        <f>(AC26+AD26)/AA26</f>
        <v>1.7776724342261199E-2</v>
      </c>
      <c r="L26" s="72">
        <f>Z26/Q26</f>
        <v>0.15992571192736277</v>
      </c>
      <c r="M26" s="72">
        <f>(Y26+AB26)/Q26</f>
        <v>0.14589352042921996</v>
      </c>
      <c r="N26" s="58">
        <f>(E26*0.7635+F26*0.7562+G26*0.75+H26*0.7248+I26*0.7021+J26*0.6285+1-K26*0.5884+1-L26*0.5276+M26*0.3663)/6.931</f>
        <v>0.56862810125562724</v>
      </c>
      <c r="O26" s="65">
        <f>N26/0.4968*100</f>
        <v>114.45815242665604</v>
      </c>
      <c r="P26" s="155">
        <f>(O26-100)/100*Q26*0.3389</f>
        <v>474.8951927386006</v>
      </c>
      <c r="Q26" s="54">
        <v>9692</v>
      </c>
      <c r="R26" s="54">
        <f>Q26-Y26-AB26-AC26-AD26</f>
        <v>8203</v>
      </c>
      <c r="S26" s="20" t="s">
        <v>19</v>
      </c>
      <c r="T26" s="19">
        <v>2211</v>
      </c>
      <c r="U26" s="19">
        <v>353</v>
      </c>
      <c r="V26" s="19">
        <v>46</v>
      </c>
      <c r="W26" s="19">
        <v>521</v>
      </c>
      <c r="X26" s="19">
        <v>1555</v>
      </c>
      <c r="Y26" s="54">
        <v>1345</v>
      </c>
      <c r="Z26" s="19">
        <v>1550</v>
      </c>
      <c r="AA26" s="54">
        <f>T26+U26+V26*2+W26*3</f>
        <v>4219</v>
      </c>
      <c r="AB26" s="19">
        <v>69</v>
      </c>
      <c r="AC26" s="19">
        <v>5</v>
      </c>
      <c r="AD26" s="19">
        <v>70</v>
      </c>
      <c r="AE26" s="9"/>
      <c r="AF26" s="6">
        <v>1997</v>
      </c>
      <c r="AG26" s="77">
        <v>4.5595666019151999E-2</v>
      </c>
      <c r="AH26" s="85">
        <v>0.51991013827713672</v>
      </c>
      <c r="AI26" s="86">
        <v>0.48757705381289906</v>
      </c>
      <c r="AJ26" s="76">
        <v>5.0301065835721163E-3</v>
      </c>
      <c r="AK26" s="41">
        <v>8.2500000000000004E-3</v>
      </c>
      <c r="AL26" s="42">
        <v>8.9835538870817969E-3</v>
      </c>
      <c r="AM26" s="78">
        <v>7.8799999999999999E-3</v>
      </c>
      <c r="AN26" s="9"/>
      <c r="AO26" s="146" t="s">
        <v>153</v>
      </c>
      <c r="AP26" s="147">
        <v>0.25811001410437234</v>
      </c>
      <c r="AQ26" s="147">
        <v>0.29671237402940692</v>
      </c>
      <c r="AR26" s="147">
        <v>0.2391559202813599</v>
      </c>
      <c r="AS26" s="147">
        <v>0.39459772013877414</v>
      </c>
      <c r="AT26" s="147">
        <v>0.66217844059606701</v>
      </c>
      <c r="AU26" s="147">
        <v>5.0111358574610243E-2</v>
      </c>
      <c r="AV26" s="147">
        <v>6.0133630289532294E-2</v>
      </c>
      <c r="AW26" s="147">
        <v>0.10548488352882868</v>
      </c>
      <c r="AX26" s="147">
        <v>0.10804559722451677</v>
      </c>
      <c r="AY26" s="147">
        <v>0.51212835359277742</v>
      </c>
      <c r="AZ26" s="162">
        <v>102.79573536587263</v>
      </c>
      <c r="BA26" s="177">
        <v>223.75043433480863</v>
      </c>
      <c r="BB26" s="9"/>
      <c r="BC26" s="150" t="s">
        <v>214</v>
      </c>
      <c r="BD26" s="151">
        <v>0.322636815920398</v>
      </c>
      <c r="BE26" s="151">
        <v>0.51525090193506062</v>
      </c>
      <c r="BF26" s="153">
        <v>0.47972972972972971</v>
      </c>
      <c r="BG26" s="151">
        <v>0.72417185962610697</v>
      </c>
      <c r="BH26" s="151">
        <v>1.0221300783198601</v>
      </c>
      <c r="BI26" s="151">
        <v>0.10534691279439848</v>
      </c>
      <c r="BJ26" s="151">
        <v>2.6416295353278166E-2</v>
      </c>
      <c r="BK26" s="151">
        <v>0.13840603476549687</v>
      </c>
      <c r="BL26" s="151">
        <v>0.14234175139389965</v>
      </c>
      <c r="BM26" s="151">
        <v>0.61579346071849816</v>
      </c>
      <c r="BN26" s="165">
        <v>122.54596233203945</v>
      </c>
      <c r="BO26" s="168">
        <v>465.93760816133181</v>
      </c>
      <c r="BP26" s="9"/>
    </row>
    <row r="27" spans="1:68" x14ac:dyDescent="0.2">
      <c r="A27" s="9"/>
      <c r="B27" s="3">
        <v>1989</v>
      </c>
      <c r="C27" s="51" t="s">
        <v>116</v>
      </c>
      <c r="D27" s="26">
        <v>0.94599999999999995</v>
      </c>
      <c r="E27" s="72">
        <f>(T27-W27)/(R27-W27-Z27+AD27)</f>
        <v>0.28949165772270463</v>
      </c>
      <c r="F27" s="72">
        <f>AA27/Q27</f>
        <v>0.39586906803887933</v>
      </c>
      <c r="G27" s="72">
        <f>(U27+V27+W27)/T27</f>
        <v>0.33840304182509506</v>
      </c>
      <c r="H27" s="72">
        <f>(AA27+X27)/Q27</f>
        <v>0.52765866209262435</v>
      </c>
      <c r="I27" s="72">
        <f>(AA27/R27)+((T27+Y27+AB27)/(R27+Y27+AB27+AD27))</f>
        <v>0.84143312188353314</v>
      </c>
      <c r="J27" s="72">
        <f>W27/AA27</f>
        <v>8.1603177468857188E-2</v>
      </c>
      <c r="K27" s="72">
        <f>(AC27+AD27)/AA27</f>
        <v>2.1303484383462717E-2</v>
      </c>
      <c r="L27" s="72">
        <f>Z27/Q27</f>
        <v>9.9556889651229274E-2</v>
      </c>
      <c r="M27" s="72">
        <f>(Y27+AB27)/Q27</f>
        <v>0.13471983990851916</v>
      </c>
      <c r="N27" s="58">
        <f>(E27*0.7635+F27*0.7562+G27*0.75+H27*0.7248+I27*0.7021+J27*0.6285+1-K27*0.5884+1-L27*0.5276+M27*0.3663)/6.931</f>
        <v>0.54580534319098528</v>
      </c>
      <c r="O27" s="65">
        <f>N27/0.4966*100</f>
        <v>109.90844607148314</v>
      </c>
      <c r="P27" s="155">
        <f>(O27-100)/100*Q27*0.3389</f>
        <v>469.84749451769898</v>
      </c>
      <c r="Q27" s="54">
        <v>13992</v>
      </c>
      <c r="R27" s="54">
        <f>Q27-Y27-AB27-AC27-AD27</f>
        <v>11989</v>
      </c>
      <c r="S27" s="20" t="s">
        <v>19</v>
      </c>
      <c r="T27" s="19">
        <v>3419</v>
      </c>
      <c r="U27" s="19">
        <v>646</v>
      </c>
      <c r="V27" s="19">
        <v>59</v>
      </c>
      <c r="W27" s="19">
        <v>452</v>
      </c>
      <c r="X27" s="19">
        <v>1844</v>
      </c>
      <c r="Y27" s="54">
        <v>1845</v>
      </c>
      <c r="Z27" s="19">
        <v>1393</v>
      </c>
      <c r="AA27" s="54">
        <f>T27+U27+V27*2+W27*3</f>
        <v>5539</v>
      </c>
      <c r="AB27" s="19">
        <v>40</v>
      </c>
      <c r="AC27" s="19">
        <v>13</v>
      </c>
      <c r="AD27" s="19">
        <v>105</v>
      </c>
      <c r="AE27" s="9"/>
      <c r="AF27" s="6">
        <v>1996</v>
      </c>
      <c r="AG27" s="77">
        <v>4.5057344172218683E-2</v>
      </c>
      <c r="AH27" s="85">
        <v>0.52376180683952944</v>
      </c>
      <c r="AI27" s="86">
        <v>0.48516506295583844</v>
      </c>
      <c r="AJ27" s="76">
        <v>4.8233415884871627E-3</v>
      </c>
      <c r="AK27" s="41">
        <v>7.92E-3</v>
      </c>
      <c r="AL27" s="42">
        <v>8.7102215352329593E-3</v>
      </c>
      <c r="AM27" s="78">
        <v>7.9000000000000008E-3</v>
      </c>
      <c r="AN27" s="9"/>
      <c r="AO27" s="146" t="s">
        <v>92</v>
      </c>
      <c r="AP27" s="147">
        <v>0.26484247521024223</v>
      </c>
      <c r="AQ27" s="147">
        <v>0.32619256928700319</v>
      </c>
      <c r="AR27" s="147">
        <v>0.27855924978687124</v>
      </c>
      <c r="AS27" s="147">
        <v>0.42354138712811734</v>
      </c>
      <c r="AT27" s="147">
        <v>0.64088441072012436</v>
      </c>
      <c r="AU27" s="147">
        <v>6.6950354609929083E-2</v>
      </c>
      <c r="AV27" s="147">
        <v>4.75177304964539E-2</v>
      </c>
      <c r="AW27" s="147">
        <v>0.16536343867117012</v>
      </c>
      <c r="AX27" s="147">
        <v>6.5932540600564471E-2</v>
      </c>
      <c r="AY27" s="147">
        <v>0.50905624911073644</v>
      </c>
      <c r="AZ27" s="162">
        <v>101.54722703186445</v>
      </c>
      <c r="BA27" s="177">
        <v>221.07328013816678</v>
      </c>
      <c r="BB27" s="9"/>
      <c r="BC27" s="150" t="s">
        <v>229</v>
      </c>
      <c r="BD27" s="151">
        <v>0.3505519388621568</v>
      </c>
      <c r="BE27" s="151">
        <v>0.45173874275523851</v>
      </c>
      <c r="BF27" s="151">
        <v>0.32932330827067668</v>
      </c>
      <c r="BG27" s="151">
        <v>0.6237182345073562</v>
      </c>
      <c r="BH27" s="151">
        <v>0.93342719453959044</v>
      </c>
      <c r="BI27" s="151">
        <v>4.5151739452257589E-2</v>
      </c>
      <c r="BJ27" s="151">
        <v>8.5862324204293114E-2</v>
      </c>
      <c r="BK27" s="151">
        <v>6.130182790905038E-2</v>
      </c>
      <c r="BL27" s="151">
        <v>9.9866250557289343E-2</v>
      </c>
      <c r="BM27" s="151">
        <v>0.56929282546691851</v>
      </c>
      <c r="BN27" s="165">
        <v>115.21813913517882</v>
      </c>
      <c r="BO27" s="168">
        <v>462.72438210327363</v>
      </c>
      <c r="BP27" s="9"/>
    </row>
    <row r="28" spans="1:68" x14ac:dyDescent="0.2">
      <c r="A28" s="9"/>
      <c r="B28" s="3">
        <v>1956</v>
      </c>
      <c r="C28" s="51" t="s">
        <v>214</v>
      </c>
      <c r="D28" s="26">
        <v>0.85</v>
      </c>
      <c r="E28" s="71">
        <f>(T28-W28)/(R28-W28-Z28+AD28)</f>
        <v>0.322636815920398</v>
      </c>
      <c r="F28" s="71">
        <f>AA28/Q28</f>
        <v>0.51525090193506062</v>
      </c>
      <c r="G28" s="128">
        <f>(U28+V28+W28)/T28</f>
        <v>0.47972972972972971</v>
      </c>
      <c r="H28" s="71">
        <f>(AA28+X28)/Q28</f>
        <v>0.72417185962610697</v>
      </c>
      <c r="I28" s="71">
        <f>(AA28/R28)+((T28+Y28+AB28)/(R28+Y28+AB28+AD28))</f>
        <v>1.0221300783198601</v>
      </c>
      <c r="J28" s="71">
        <f>W28/AA28</f>
        <v>0.10534691279439848</v>
      </c>
      <c r="K28" s="71">
        <f>(AC28+AD28)/AA28</f>
        <v>2.6416295353278166E-2</v>
      </c>
      <c r="L28" s="71">
        <f>Z28/Q28</f>
        <v>0.13840603476549687</v>
      </c>
      <c r="M28" s="71">
        <f>(Y28+AB28)/Q28</f>
        <v>0.14234175139389965</v>
      </c>
      <c r="N28" s="57">
        <f>(E28*0.7635+F28*0.7562+G28*0.75+H28*0.7248+I28*0.7021+J28*0.6285+1-K28*0.5884+1-L28*0.5276+M28*0.3663)/6.931</f>
        <v>0.61579346071849816</v>
      </c>
      <c r="O28" s="64">
        <f>N28/0.5025*100</f>
        <v>122.54596233203945</v>
      </c>
      <c r="P28" s="155">
        <f>(O28-100)/100*Q28*0.3389</f>
        <v>465.93760816133181</v>
      </c>
      <c r="Q28" s="54">
        <v>6098</v>
      </c>
      <c r="R28" s="21">
        <f>Q28-Y28-AB28-AC28-AD28</f>
        <v>5147</v>
      </c>
      <c r="S28" s="20" t="s">
        <v>19</v>
      </c>
      <c r="T28" s="19">
        <v>1628</v>
      </c>
      <c r="U28" s="19">
        <v>379</v>
      </c>
      <c r="V28" s="19">
        <v>71</v>
      </c>
      <c r="W28" s="19">
        <v>331</v>
      </c>
      <c r="X28" s="19">
        <v>1274</v>
      </c>
      <c r="Y28" s="54">
        <v>852</v>
      </c>
      <c r="Z28" s="19">
        <v>844</v>
      </c>
      <c r="AA28" s="54">
        <f>T28+U28+V28*2+W28*3</f>
        <v>3142</v>
      </c>
      <c r="AB28" s="19">
        <v>16</v>
      </c>
      <c r="AC28" s="19">
        <v>35</v>
      </c>
      <c r="AD28" s="21">
        <v>48</v>
      </c>
      <c r="AE28" s="9"/>
      <c r="AF28" s="6">
        <v>1995</v>
      </c>
      <c r="AG28" s="77">
        <v>4.4402185011231367E-2</v>
      </c>
      <c r="AH28" s="85">
        <v>0.51914620203764528</v>
      </c>
      <c r="AI28" s="86">
        <v>0.48805544576048798</v>
      </c>
      <c r="AJ28" s="76">
        <v>5.2583214212783341E-3</v>
      </c>
      <c r="AK28" s="41">
        <v>7.7799999999999996E-3</v>
      </c>
      <c r="AL28" s="42">
        <v>9.4956095568715544E-3</v>
      </c>
      <c r="AM28" s="78">
        <v>7.4900000000000001E-3</v>
      </c>
      <c r="AN28" s="9"/>
      <c r="AO28" s="146" t="s">
        <v>113</v>
      </c>
      <c r="AP28" s="147">
        <v>0.2513201320132013</v>
      </c>
      <c r="AQ28" s="147">
        <v>0.3068809331761494</v>
      </c>
      <c r="AR28" s="147">
        <v>0.26963272618692147</v>
      </c>
      <c r="AS28" s="147">
        <v>0.39343550288515233</v>
      </c>
      <c r="AT28" s="147">
        <v>0.63382682902818976</v>
      </c>
      <c r="AU28" s="147">
        <v>6.1261625556004853E-2</v>
      </c>
      <c r="AV28" s="147">
        <v>4.3873837444399516E-2</v>
      </c>
      <c r="AW28" s="147">
        <v>0.13724638580380963</v>
      </c>
      <c r="AX28" s="147">
        <v>8.3700440528634359E-2</v>
      </c>
      <c r="AY28" s="147">
        <v>0.51253356160307761</v>
      </c>
      <c r="AZ28" s="162">
        <v>102.03734055406682</v>
      </c>
      <c r="BA28" s="177">
        <v>217.077590880115</v>
      </c>
      <c r="BB28" s="9"/>
      <c r="BC28" s="150" t="s">
        <v>255</v>
      </c>
      <c r="BD28" s="151">
        <v>0.36395450568678916</v>
      </c>
      <c r="BE28" s="151">
        <v>0.45155915258271839</v>
      </c>
      <c r="BF28" s="151">
        <v>0.31151328455910665</v>
      </c>
      <c r="BG28" s="151">
        <v>0.62604141870983099</v>
      </c>
      <c r="BH28" s="151">
        <v>0.93445810771530735</v>
      </c>
      <c r="BI28" s="151">
        <v>2.6620980495519239E-2</v>
      </c>
      <c r="BJ28" s="151">
        <v>6.193990511333685E-2</v>
      </c>
      <c r="BK28" s="151">
        <v>5.2249464413234942E-2</v>
      </c>
      <c r="BL28" s="151">
        <v>9.950011901928113E-2</v>
      </c>
      <c r="BM28" s="151">
        <v>0.57019002159098753</v>
      </c>
      <c r="BN28" s="165">
        <v>116.1756360209836</v>
      </c>
      <c r="BO28" s="168">
        <v>460.59117445190304</v>
      </c>
      <c r="BP28" s="9"/>
    </row>
    <row r="29" spans="1:68" x14ac:dyDescent="0.2">
      <c r="A29" s="9"/>
      <c r="B29" s="3">
        <v>1952</v>
      </c>
      <c r="C29" s="51" t="s">
        <v>229</v>
      </c>
      <c r="D29" s="26">
        <v>0.86799999999999999</v>
      </c>
      <c r="E29" s="71">
        <f>(T29-W29)/(R29-W29-Z29+AD29)</f>
        <v>0.3505519388621568</v>
      </c>
      <c r="F29" s="71">
        <f>AA29/Q29</f>
        <v>0.45173874275523851</v>
      </c>
      <c r="G29" s="71">
        <f>(U29+V29+W29)/T29</f>
        <v>0.32932330827067668</v>
      </c>
      <c r="H29" s="71">
        <f>(AA29+X29)/Q29</f>
        <v>0.6237182345073562</v>
      </c>
      <c r="I29" s="71">
        <f>(AA29/R29)+((T29+Y29+AB29)/(R29+Y29+AB29+AD29))</f>
        <v>0.93342719453959044</v>
      </c>
      <c r="J29" s="71">
        <f>W29/AA29</f>
        <v>4.5151739452257589E-2</v>
      </c>
      <c r="K29" s="71">
        <f>(AC29+AD29)/AA29</f>
        <v>8.5862324204293114E-2</v>
      </c>
      <c r="L29" s="71">
        <f>Z29/Q29</f>
        <v>6.130182790905038E-2</v>
      </c>
      <c r="M29" s="71">
        <f>(Y29+AB29)/Q29</f>
        <v>9.9866250557289343E-2</v>
      </c>
      <c r="N29" s="57">
        <f>(E29*0.7635+F29*0.7562+G29*0.75+H29*0.7248+I29*0.7021+J29*0.6285+1-K29*0.5884+1-L29*0.5276+M29*0.3663)/6.931</f>
        <v>0.56929282546691851</v>
      </c>
      <c r="O29" s="64">
        <f>N29/0.4941*100</f>
        <v>115.21813913517882</v>
      </c>
      <c r="P29" s="155">
        <f>(O29-100)/100*Q29*0.3389</f>
        <v>462.72438210327363</v>
      </c>
      <c r="Q29" s="54">
        <v>8972</v>
      </c>
      <c r="R29" s="21">
        <f>Q29-Y29-AB29-AC29-AD29</f>
        <v>7728</v>
      </c>
      <c r="S29" s="20" t="s">
        <v>19</v>
      </c>
      <c r="T29" s="19">
        <v>2660</v>
      </c>
      <c r="U29" s="19">
        <v>542</v>
      </c>
      <c r="V29" s="19">
        <v>151</v>
      </c>
      <c r="W29" s="19">
        <v>183</v>
      </c>
      <c r="X29" s="19">
        <v>1543</v>
      </c>
      <c r="Y29" s="54">
        <v>856</v>
      </c>
      <c r="Z29" s="19">
        <v>550</v>
      </c>
      <c r="AA29" s="54">
        <f>T29+U29+V29*2+W29*3</f>
        <v>4053</v>
      </c>
      <c r="AB29" s="19">
        <v>40</v>
      </c>
      <c r="AC29" s="19">
        <v>277</v>
      </c>
      <c r="AD29" s="21">
        <v>71</v>
      </c>
      <c r="AE29" s="9"/>
      <c r="AF29" s="6">
        <v>1994</v>
      </c>
      <c r="AG29" s="77">
        <v>4.5974149080597354E-2</v>
      </c>
      <c r="AH29" s="85">
        <v>0.52250029028573575</v>
      </c>
      <c r="AI29" s="86">
        <v>0.48595504951477814</v>
      </c>
      <c r="AJ29" s="76">
        <v>5.6393242450776407E-3</v>
      </c>
      <c r="AK29" s="41">
        <v>7.0400000000000003E-3</v>
      </c>
      <c r="AL29" s="42">
        <v>9.6961030823485943E-3</v>
      </c>
      <c r="AM29" s="78">
        <v>7.9699999999999997E-3</v>
      </c>
      <c r="AN29" s="9"/>
      <c r="AO29" s="146" t="s">
        <v>111</v>
      </c>
      <c r="AP29" s="147">
        <v>0.27819318460406961</v>
      </c>
      <c r="AQ29" s="147">
        <v>0.32464811187537013</v>
      </c>
      <c r="AR29" s="147">
        <v>0.25293641150263263</v>
      </c>
      <c r="AS29" s="147">
        <v>0.42158247164396667</v>
      </c>
      <c r="AT29" s="147">
        <v>0.64950059989093289</v>
      </c>
      <c r="AU29" s="147">
        <v>5.5984285112950748E-2</v>
      </c>
      <c r="AV29" s="147">
        <v>4.6022169215658763E-2</v>
      </c>
      <c r="AW29" s="147">
        <v>0.16098027604427642</v>
      </c>
      <c r="AX29" s="147">
        <v>6.7735616999954451E-2</v>
      </c>
      <c r="AY29" s="147">
        <v>0.50983338492984942</v>
      </c>
      <c r="AZ29" s="162">
        <v>101.45938008554218</v>
      </c>
      <c r="BA29" s="177">
        <v>211.80170419938619</v>
      </c>
      <c r="BB29" s="9"/>
      <c r="BC29" s="150" t="s">
        <v>140</v>
      </c>
      <c r="BD29" s="151">
        <v>0.29706887250494518</v>
      </c>
      <c r="BE29" s="151">
        <v>0.49118285404232231</v>
      </c>
      <c r="BF29" s="151">
        <v>0.40228741919443062</v>
      </c>
      <c r="BG29" s="151">
        <v>0.67254476397178509</v>
      </c>
      <c r="BH29" s="151">
        <v>0.96396765277265972</v>
      </c>
      <c r="BI29" s="151">
        <v>9.9143882905274788E-2</v>
      </c>
      <c r="BJ29" s="151">
        <v>2.1264843965755315E-2</v>
      </c>
      <c r="BK29" s="151">
        <v>7.107976125881714E-2</v>
      </c>
      <c r="BL29" s="151">
        <v>0.12316874660879001</v>
      </c>
      <c r="BM29" s="151">
        <v>0.59466700083360979</v>
      </c>
      <c r="BN29" s="165">
        <v>118.36524698121215</v>
      </c>
      <c r="BO29" s="168">
        <v>458.83196792648585</v>
      </c>
      <c r="BP29" s="9"/>
    </row>
    <row r="30" spans="1:68" x14ac:dyDescent="0.2">
      <c r="A30" s="9"/>
      <c r="B30" s="3">
        <v>1945</v>
      </c>
      <c r="C30" s="51" t="s">
        <v>255</v>
      </c>
      <c r="D30" s="26" t="s">
        <v>19</v>
      </c>
      <c r="E30" s="71">
        <f>(T30-W30)/(R30-W30-Z30+AD30)</f>
        <v>0.36395450568678916</v>
      </c>
      <c r="F30" s="71">
        <f>AA30/Q30</f>
        <v>0.45155915258271839</v>
      </c>
      <c r="G30" s="71">
        <f>(U30+V30+W30)/T30</f>
        <v>0.31151328455910665</v>
      </c>
      <c r="H30" s="71">
        <f>(AA30+X30)/Q30</f>
        <v>0.62604141870983099</v>
      </c>
      <c r="I30" s="71">
        <f>(AA30/R30)+((T30+Y30+AB30)/(R30+Y30+AB30+AD30))</f>
        <v>0.93445810771530735</v>
      </c>
      <c r="J30" s="71">
        <f>W30/AA30</f>
        <v>2.6620980495519239E-2</v>
      </c>
      <c r="K30" s="71">
        <f>(AC30+AD30)/AA30</f>
        <v>6.193990511333685E-2</v>
      </c>
      <c r="L30" s="71">
        <f>Z30/Q30</f>
        <v>5.2249464413234942E-2</v>
      </c>
      <c r="M30" s="71">
        <f>(Y30+AB30)/Q30</f>
        <v>9.950011901928113E-2</v>
      </c>
      <c r="N30" s="57">
        <f>(E30*0.7635+F30*0.7562+G30*0.75+H30*0.7248+I30*0.7021+J30*0.6285+1-K30*0.5884+1-L30*0.5276+M30*0.3663)/6.931</f>
        <v>0.57019002159098753</v>
      </c>
      <c r="O30" s="64">
        <f>N30/0.4908*100</f>
        <v>116.1756360209836</v>
      </c>
      <c r="P30" s="155">
        <f>(O30-100)/100*Q30*0.3389</f>
        <v>460.59117445190304</v>
      </c>
      <c r="Q30" s="54">
        <v>8402</v>
      </c>
      <c r="R30" s="21">
        <f>Q30-Y30-AB30-AC30-AD30</f>
        <v>7331</v>
      </c>
      <c r="S30" s="19" t="s">
        <v>19</v>
      </c>
      <c r="T30" s="19">
        <v>2597</v>
      </c>
      <c r="U30" s="19">
        <v>522</v>
      </c>
      <c r="V30" s="19">
        <v>186</v>
      </c>
      <c r="W30" s="19">
        <v>101</v>
      </c>
      <c r="X30" s="19">
        <v>1466</v>
      </c>
      <c r="Y30" s="54">
        <v>742</v>
      </c>
      <c r="Z30" s="19">
        <v>439</v>
      </c>
      <c r="AA30" s="54">
        <f>T30+U30+V30*2+W30*3</f>
        <v>3794</v>
      </c>
      <c r="AB30" s="19">
        <v>94</v>
      </c>
      <c r="AC30" s="21">
        <v>168</v>
      </c>
      <c r="AD30" s="21">
        <v>67</v>
      </c>
      <c r="AE30" s="9"/>
      <c r="AF30" s="6">
        <v>1993</v>
      </c>
      <c r="AG30" s="77">
        <v>4.2672028596961571E-2</v>
      </c>
      <c r="AH30" s="85">
        <v>0.51131574761464249</v>
      </c>
      <c r="AI30" s="86">
        <v>0.4929590308351024</v>
      </c>
      <c r="AJ30" s="76">
        <v>5.3848445269356797E-3</v>
      </c>
      <c r="AK30" s="41">
        <v>6.8700000000000002E-3</v>
      </c>
      <c r="AL30" s="42">
        <v>1.0374418551362251E-2</v>
      </c>
      <c r="AM30" s="78">
        <v>8.1899999999999994E-3</v>
      </c>
      <c r="AN30" s="9"/>
      <c r="AO30" s="146" t="s">
        <v>198</v>
      </c>
      <c r="AP30" s="147">
        <v>0.2896186747861389</v>
      </c>
      <c r="AQ30" s="147">
        <v>0.3108044901777362</v>
      </c>
      <c r="AR30" s="154">
        <v>0.20336093521675597</v>
      </c>
      <c r="AS30" s="147">
        <v>0.41680308699719365</v>
      </c>
      <c r="AT30" s="147">
        <v>0.67364516171639588</v>
      </c>
      <c r="AU30" s="147">
        <v>2.08803611738149E-2</v>
      </c>
      <c r="AV30" s="147">
        <v>0.10308502633559068</v>
      </c>
      <c r="AW30" s="147">
        <v>8.6003274087932652E-2</v>
      </c>
      <c r="AX30" s="147">
        <v>7.694106641721235E-2</v>
      </c>
      <c r="AY30" s="147">
        <v>0.5132800575259715</v>
      </c>
      <c r="AZ30" s="162">
        <v>101.74034836986552</v>
      </c>
      <c r="BA30" s="177">
        <v>196.78909832368649</v>
      </c>
      <c r="BB30" s="9"/>
      <c r="BC30" s="150" t="s">
        <v>31</v>
      </c>
      <c r="BD30" s="151">
        <v>0.32158920539730135</v>
      </c>
      <c r="BE30" s="151">
        <v>0.45253563463589647</v>
      </c>
      <c r="BF30" s="151">
        <v>0.46778350515463918</v>
      </c>
      <c r="BG30" s="151">
        <v>0.61727916222243773</v>
      </c>
      <c r="BH30" s="151">
        <v>0.95600581726642653</v>
      </c>
      <c r="BI30" s="151">
        <v>0.13113349046496678</v>
      </c>
      <c r="BJ30" s="151">
        <v>1.6070280694236126E-2</v>
      </c>
      <c r="BK30" s="151">
        <v>0.24706680888199359</v>
      </c>
      <c r="BL30" s="151">
        <v>0.17608843207602057</v>
      </c>
      <c r="BM30" s="151">
        <v>0.58639510100708614</v>
      </c>
      <c r="BN30" s="165">
        <v>113.07271519612152</v>
      </c>
      <c r="BO30" s="168">
        <v>456.90129214985058</v>
      </c>
      <c r="BP30" s="9"/>
    </row>
    <row r="31" spans="1:68" x14ac:dyDescent="0.2">
      <c r="A31" s="9"/>
      <c r="B31" s="3">
        <v>1981</v>
      </c>
      <c r="C31" s="51" t="s">
        <v>140</v>
      </c>
      <c r="D31" s="26" t="s">
        <v>19</v>
      </c>
      <c r="E31" s="71">
        <f>(T31-W31)/(R31-W31-Z31+AD31)</f>
        <v>0.29706887250494518</v>
      </c>
      <c r="F31" s="71">
        <f>AA31/Q31</f>
        <v>0.49118285404232231</v>
      </c>
      <c r="G31" s="71">
        <f>(U31+V31+W31)/T31</f>
        <v>0.40228741919443062</v>
      </c>
      <c r="H31" s="71">
        <f>(AA31+X31)/Q31</f>
        <v>0.67254476397178509</v>
      </c>
      <c r="I31" s="71">
        <f>(AA31/R31)+((T31+Y31+AB31)/(R31+Y31+AB31+AD31))</f>
        <v>0.96396765277265972</v>
      </c>
      <c r="J31" s="71">
        <f>W31/AA31</f>
        <v>9.9143882905274788E-2</v>
      </c>
      <c r="K31" s="71">
        <f>(AC31+AD31)/AA31</f>
        <v>2.1264843965755315E-2</v>
      </c>
      <c r="L31" s="71">
        <f>Z31/Q31</f>
        <v>7.107976125881714E-2</v>
      </c>
      <c r="M31" s="71">
        <f>(Y31+AB31)/Q31</f>
        <v>0.12316874660879001</v>
      </c>
      <c r="N31" s="57">
        <f>(E31*0.7635+F31*0.7562+G31*0.75+H31*0.7248+I31*0.7021+J31*0.6285+1-K31*0.5884+1-L31*0.5276+M31*0.3663)/6.931</f>
        <v>0.59466700083360979</v>
      </c>
      <c r="O31" s="64">
        <f>N31/0.5024*100</f>
        <v>118.36524698121215</v>
      </c>
      <c r="P31" s="155">
        <f>(O31-100)/100*Q31*0.3389</f>
        <v>458.83196792648585</v>
      </c>
      <c r="Q31" s="54">
        <v>7372</v>
      </c>
      <c r="R31" s="21">
        <f>Q31-Y31-AB31-AC31-AD31</f>
        <v>6387</v>
      </c>
      <c r="S31" s="20" t="s">
        <v>19</v>
      </c>
      <c r="T31" s="19">
        <v>2011</v>
      </c>
      <c r="U31" s="19">
        <v>367</v>
      </c>
      <c r="V31" s="19">
        <v>83</v>
      </c>
      <c r="W31" s="19">
        <v>359</v>
      </c>
      <c r="X31" s="19">
        <v>1337</v>
      </c>
      <c r="Y31" s="54">
        <v>856</v>
      </c>
      <c r="Z31" s="19">
        <v>524</v>
      </c>
      <c r="AA31" s="54">
        <f>T31+U31+V31*2+W31*3</f>
        <v>3621</v>
      </c>
      <c r="AB31" s="19">
        <v>52</v>
      </c>
      <c r="AC31" s="19">
        <v>20</v>
      </c>
      <c r="AD31" s="21">
        <v>57</v>
      </c>
      <c r="AE31" s="9"/>
      <c r="AF31" s="6">
        <v>1992</v>
      </c>
      <c r="AG31" s="77">
        <v>4.0879504188856705E-2</v>
      </c>
      <c r="AH31" s="85">
        <v>0.49821847687464238</v>
      </c>
      <c r="AI31" s="86">
        <v>0.50116080021520182</v>
      </c>
      <c r="AJ31" s="76">
        <v>5.2633218100844002E-3</v>
      </c>
      <c r="AK31" s="41">
        <v>6.1000000000000004E-3</v>
      </c>
      <c r="AL31" s="42">
        <v>1.0370924039988788E-2</v>
      </c>
      <c r="AM31" s="78">
        <v>8.0599999999999995E-3</v>
      </c>
      <c r="AN31" s="9"/>
      <c r="AO31" s="146" t="s">
        <v>56</v>
      </c>
      <c r="AP31" s="147">
        <v>0.27554489102179563</v>
      </c>
      <c r="AQ31" s="147">
        <v>0.28839749567070733</v>
      </c>
      <c r="AR31" s="147">
        <v>0.26252505010020039</v>
      </c>
      <c r="AS31" s="147">
        <v>0.37764752897295856</v>
      </c>
      <c r="AT31" s="147">
        <v>0.63780823730604774</v>
      </c>
      <c r="AU31" s="147">
        <v>5.4965357967667439E-2</v>
      </c>
      <c r="AV31" s="147">
        <v>7.9907621247113161E-2</v>
      </c>
      <c r="AW31" s="147">
        <v>0.20007992540295724</v>
      </c>
      <c r="AX31" s="147">
        <v>0.10376981483948315</v>
      </c>
      <c r="AY31" s="147">
        <v>0.51799246583098701</v>
      </c>
      <c r="AZ31" s="162">
        <v>103.84772771270789</v>
      </c>
      <c r="BA31" s="177">
        <v>190.95802061070012</v>
      </c>
      <c r="BB31" s="9"/>
      <c r="BC31" s="150" t="s">
        <v>106</v>
      </c>
      <c r="BD31" s="151">
        <v>0.29834661942722174</v>
      </c>
      <c r="BE31" s="151">
        <v>0.4233666141180592</v>
      </c>
      <c r="BF31" s="151">
        <v>0.41602167182662536</v>
      </c>
      <c r="BG31" s="151">
        <v>0.5724294972849886</v>
      </c>
      <c r="BH31" s="151">
        <v>0.84551135145184841</v>
      </c>
      <c r="BI31" s="151">
        <v>0.11646669424906909</v>
      </c>
      <c r="BJ31" s="151">
        <v>1.6756309474555232E-2</v>
      </c>
      <c r="BK31" s="151">
        <v>0.22744788929760029</v>
      </c>
      <c r="BL31" s="151">
        <v>0.12883166929409703</v>
      </c>
      <c r="BM31" s="151">
        <v>0.55677587502452131</v>
      </c>
      <c r="BN31" s="165">
        <v>111.757502012148</v>
      </c>
      <c r="BO31" s="168">
        <v>454.96361837627796</v>
      </c>
      <c r="BP31" s="9"/>
    </row>
    <row r="32" spans="1:68" x14ac:dyDescent="0.2">
      <c r="A32" s="9"/>
      <c r="B32" s="3">
        <v>2018</v>
      </c>
      <c r="C32" s="51" t="s">
        <v>31</v>
      </c>
      <c r="D32" s="26">
        <v>0.89800000000000002</v>
      </c>
      <c r="E32" s="71">
        <f>(T32-W32)/(R32-W32-Z32+AD32)</f>
        <v>0.32158920539730135</v>
      </c>
      <c r="F32" s="71">
        <f>AA32/Q32</f>
        <v>0.45253563463589647</v>
      </c>
      <c r="G32" s="71">
        <f>(U32+V32+W32)/T32</f>
        <v>0.46778350515463918</v>
      </c>
      <c r="H32" s="71">
        <f>(AA32+X32)/Q32</f>
        <v>0.61727916222243773</v>
      </c>
      <c r="I32" s="71">
        <f>(AA32/R32)+((T32+Y32+AB32)/(R32+Y32+AB32+AD32))</f>
        <v>0.95600581726642653</v>
      </c>
      <c r="J32" s="71">
        <f>W32/AA32</f>
        <v>0.13113349046496678</v>
      </c>
      <c r="K32" s="71">
        <f>(AC32+AD32)/AA32</f>
        <v>1.6070280694236126E-2</v>
      </c>
      <c r="L32" s="71">
        <f>Z32/Q32</f>
        <v>0.24706680888199359</v>
      </c>
      <c r="M32" s="71">
        <f>(Y32+AB32)/Q32</f>
        <v>0.17608843207602057</v>
      </c>
      <c r="N32" s="57">
        <f>(E32*0.7635+F32*0.7562+G32*0.75+H32*0.7248+I32*0.7021+J32*0.6285+1-K32*0.5884+1-L32*0.5276+M32*0.3663)/6.931</f>
        <v>0.58639510100708614</v>
      </c>
      <c r="O32" s="64">
        <f>N32/0.5186*100</f>
        <v>113.07271519612152</v>
      </c>
      <c r="P32" s="155">
        <f>(O32-100)/100*Q32*0.3389</f>
        <v>456.90129214985058</v>
      </c>
      <c r="Q32" s="54">
        <v>10313</v>
      </c>
      <c r="R32" s="54">
        <f>Q32-Y32-AB32-AC32-AD32</f>
        <v>8422</v>
      </c>
      <c r="S32" s="20" t="s">
        <v>19</v>
      </c>
      <c r="T32" s="19">
        <v>2328</v>
      </c>
      <c r="U32" s="19">
        <v>451</v>
      </c>
      <c r="V32" s="19">
        <v>26</v>
      </c>
      <c r="W32" s="19">
        <v>612</v>
      </c>
      <c r="X32" s="19">
        <v>1699</v>
      </c>
      <c r="Y32" s="54">
        <v>1747</v>
      </c>
      <c r="Z32" s="19">
        <v>2548</v>
      </c>
      <c r="AA32" s="54">
        <f>T32+U32+V32*2+W32*3</f>
        <v>4667</v>
      </c>
      <c r="AB32" s="19">
        <v>69</v>
      </c>
      <c r="AC32" s="19">
        <v>1</v>
      </c>
      <c r="AD32" s="19">
        <v>74</v>
      </c>
      <c r="AE32" s="9"/>
      <c r="AF32" s="6">
        <v>1991</v>
      </c>
      <c r="AG32" s="77">
        <v>4.0430243987408708E-2</v>
      </c>
      <c r="AH32" s="85">
        <v>0.50224107079860558</v>
      </c>
      <c r="AI32" s="86">
        <v>0.49864177252393077</v>
      </c>
      <c r="AJ32" s="76">
        <v>5.5615691836810865E-3</v>
      </c>
      <c r="AK32" s="41">
        <v>5.6299999999999996E-3</v>
      </c>
      <c r="AL32" s="42">
        <v>1.0102895250892713E-2</v>
      </c>
      <c r="AM32" s="78">
        <v>7.77E-3</v>
      </c>
      <c r="AN32" s="9"/>
      <c r="AO32" s="146" t="s">
        <v>95</v>
      </c>
      <c r="AP32" s="147">
        <v>0.28268856710611628</v>
      </c>
      <c r="AQ32" s="147">
        <v>0.29173393606716175</v>
      </c>
      <c r="AR32" s="147">
        <v>0.26691729323308272</v>
      </c>
      <c r="AS32" s="147">
        <v>0.39037778495318048</v>
      </c>
      <c r="AT32" s="147">
        <v>0.62154236614857994</v>
      </c>
      <c r="AU32" s="147">
        <v>1.2174875484228001E-2</v>
      </c>
      <c r="AV32" s="147">
        <v>0.13337022689540676</v>
      </c>
      <c r="AW32" s="147">
        <v>0.14820794317081046</v>
      </c>
      <c r="AX32" s="147">
        <v>7.022925411688731E-2</v>
      </c>
      <c r="AY32" s="147">
        <v>0.52108168233881647</v>
      </c>
      <c r="AZ32" s="162">
        <v>104.55089934566944</v>
      </c>
      <c r="BA32" s="177">
        <v>186.35265658672265</v>
      </c>
      <c r="BB32" s="9"/>
      <c r="BC32" s="150" t="s">
        <v>38</v>
      </c>
      <c r="BD32" s="151">
        <v>0.28702962369895918</v>
      </c>
      <c r="BE32" s="151">
        <v>0.46629511677282376</v>
      </c>
      <c r="BF32" s="151">
        <v>0.4286227975548364</v>
      </c>
      <c r="BG32" s="151">
        <v>0.62871549893842893</v>
      </c>
      <c r="BH32" s="151">
        <v>0.90731359651975163</v>
      </c>
      <c r="BI32" s="151">
        <v>0.11952191235059761</v>
      </c>
      <c r="BJ32" s="151">
        <v>2.0868905331056724E-2</v>
      </c>
      <c r="BK32" s="151">
        <v>0.15737791932059447</v>
      </c>
      <c r="BL32" s="151">
        <v>0.12323071479122434</v>
      </c>
      <c r="BM32" s="151">
        <v>0.57868872190463427</v>
      </c>
      <c r="BN32" s="165">
        <v>111.8239076144221</v>
      </c>
      <c r="BO32" s="168">
        <v>452.96510372124538</v>
      </c>
      <c r="BP32" s="9"/>
    </row>
    <row r="33" spans="1:68" x14ac:dyDescent="0.2">
      <c r="A33" s="9"/>
      <c r="B33" s="3">
        <v>1993</v>
      </c>
      <c r="C33" s="51" t="s">
        <v>106</v>
      </c>
      <c r="D33" s="26">
        <v>0.93600000000000005</v>
      </c>
      <c r="E33" s="71">
        <f>(T33-W33)/(R33-W33-Z33+AD33)</f>
        <v>0.29834661942722174</v>
      </c>
      <c r="F33" s="71">
        <f>AA33/Q33</f>
        <v>0.4233666141180592</v>
      </c>
      <c r="G33" s="71">
        <f>(U33+V33+W33)/T33</f>
        <v>0.41602167182662536</v>
      </c>
      <c r="H33" s="71">
        <f>(AA33+X33)/Q33</f>
        <v>0.5724294972849886</v>
      </c>
      <c r="I33" s="71">
        <f>(AA33/R33)+((T33+Y33+AB33)/(R33+Y33+AB33+AD33))</f>
        <v>0.84551135145184841</v>
      </c>
      <c r="J33" s="71">
        <f>W33/AA33</f>
        <v>0.11646669424906909</v>
      </c>
      <c r="K33" s="71">
        <f>(AC33+AD33)/AA33</f>
        <v>1.6756309474555232E-2</v>
      </c>
      <c r="L33" s="71">
        <f>Z33/Q33</f>
        <v>0.22744788929760029</v>
      </c>
      <c r="M33" s="71">
        <f>(Y33+AB33)/Q33</f>
        <v>0.12883166929409703</v>
      </c>
      <c r="N33" s="57">
        <f>(E33*0.7635+F33*0.7562+G33*0.75+H33*0.7248+I33*0.7021+J33*0.6285+1-K33*0.5884+1-L33*0.5276+M33*0.3663)/6.931</f>
        <v>0.55677587502452131</v>
      </c>
      <c r="O33" s="64">
        <f>N33/0.4982*100</f>
        <v>111.757502012148</v>
      </c>
      <c r="P33" s="155">
        <f>(O33-100)/100*Q33*0.3389</f>
        <v>454.96361837627796</v>
      </c>
      <c r="Q33" s="54">
        <v>11418</v>
      </c>
      <c r="R33" s="54">
        <f>Q33-Y33-AB33-AC33-AD33</f>
        <v>9866</v>
      </c>
      <c r="S33" s="20" t="s">
        <v>19</v>
      </c>
      <c r="T33" s="19">
        <v>2584</v>
      </c>
      <c r="U33" s="19">
        <v>463</v>
      </c>
      <c r="V33" s="19">
        <v>49</v>
      </c>
      <c r="W33" s="19">
        <v>563</v>
      </c>
      <c r="X33" s="19">
        <v>1702</v>
      </c>
      <c r="Y33" s="54">
        <v>1375</v>
      </c>
      <c r="Z33" s="19">
        <v>2597</v>
      </c>
      <c r="AA33" s="54">
        <f>T33+U33+V33*2+W33*3</f>
        <v>4834</v>
      </c>
      <c r="AB33" s="19">
        <v>96</v>
      </c>
      <c r="AC33" s="19">
        <v>13</v>
      </c>
      <c r="AD33" s="19">
        <v>68</v>
      </c>
      <c r="AE33" s="9"/>
      <c r="AF33" s="6">
        <v>1990</v>
      </c>
      <c r="AG33" s="77">
        <v>4.0707103470645475E-2</v>
      </c>
      <c r="AH33" s="85">
        <v>0.50247381944164704</v>
      </c>
      <c r="AI33" s="86">
        <v>0.49849602073093108</v>
      </c>
      <c r="AJ33" s="76">
        <v>5.3955937024376859E-3</v>
      </c>
      <c r="AK33" s="41">
        <v>5.3699999999999998E-3</v>
      </c>
      <c r="AL33" s="42">
        <v>9.7245440255495398E-3</v>
      </c>
      <c r="AM33" s="78">
        <v>7.8700000000000003E-3</v>
      </c>
      <c r="AN33" s="9"/>
      <c r="AO33" s="146" t="s">
        <v>206</v>
      </c>
      <c r="AP33" s="147">
        <v>0.28756017228274638</v>
      </c>
      <c r="AQ33" s="147">
        <v>0.31843873307027837</v>
      </c>
      <c r="AR33" s="147">
        <v>0.20569825167278222</v>
      </c>
      <c r="AS33" s="147">
        <v>0.42433614162312039</v>
      </c>
      <c r="AT33" s="147">
        <v>0.66557121469332092</v>
      </c>
      <c r="AU33" s="147">
        <v>1.5572672471533825E-2</v>
      </c>
      <c r="AV33" s="147">
        <v>9.4608171466845276E-2</v>
      </c>
      <c r="AW33" s="147">
        <v>7.1984643276101101E-2</v>
      </c>
      <c r="AX33" s="147">
        <v>6.1746827343500052E-2</v>
      </c>
      <c r="AY33" s="147">
        <v>0.51244629769194561</v>
      </c>
      <c r="AZ33" s="162">
        <v>101.43434237766145</v>
      </c>
      <c r="BA33" s="177">
        <v>177.83363210083218</v>
      </c>
      <c r="BB33" s="9"/>
      <c r="BC33" s="150" t="s">
        <v>129</v>
      </c>
      <c r="BD33" s="151">
        <v>0.25411488075243532</v>
      </c>
      <c r="BE33" s="151">
        <v>0.42133631648530456</v>
      </c>
      <c r="BF33" s="151">
        <v>0.42521572387344198</v>
      </c>
      <c r="BG33" s="151">
        <v>0.58242652293298081</v>
      </c>
      <c r="BH33" s="151">
        <v>0.8839779926690069</v>
      </c>
      <c r="BI33" s="153">
        <v>0.13830557566980448</v>
      </c>
      <c r="BJ33" s="151">
        <v>1.8585566014965003E-2</v>
      </c>
      <c r="BK33" s="151">
        <v>0.17278551815315774</v>
      </c>
      <c r="BL33" s="151">
        <v>0.16342926878877251</v>
      </c>
      <c r="BM33" s="151">
        <v>0.56543334705027781</v>
      </c>
      <c r="BN33" s="165">
        <v>113.58644978912773</v>
      </c>
      <c r="BO33" s="168">
        <v>452.75535547153459</v>
      </c>
      <c r="BP33" s="9"/>
    </row>
    <row r="34" spans="1:68" x14ac:dyDescent="0.2">
      <c r="A34" s="9"/>
      <c r="B34" s="3">
        <v>2016</v>
      </c>
      <c r="C34" s="51" t="s">
        <v>38</v>
      </c>
      <c r="D34" s="26">
        <v>0.99299999999999999</v>
      </c>
      <c r="E34" s="71">
        <f>(T34-W34)/(R34-W34-Z34+AD34)</f>
        <v>0.28702962369895918</v>
      </c>
      <c r="F34" s="71">
        <f>AA34/Q34</f>
        <v>0.46629511677282376</v>
      </c>
      <c r="G34" s="71">
        <f>(U34+V34+W34)/T34</f>
        <v>0.4286227975548364</v>
      </c>
      <c r="H34" s="71">
        <f>(AA34+X34)/Q34</f>
        <v>0.62871549893842893</v>
      </c>
      <c r="I34" s="71">
        <f>(AA34/R34)+((T34+Y34+AB34)/(R34+Y34+AB34+AD34))</f>
        <v>0.90731359651975163</v>
      </c>
      <c r="J34" s="71">
        <f>W34/AA34</f>
        <v>0.11952191235059761</v>
      </c>
      <c r="K34" s="71">
        <f>(AC34+AD34)/AA34</f>
        <v>2.0868905331056724E-2</v>
      </c>
      <c r="L34" s="71">
        <f>Z34/Q34</f>
        <v>0.15737791932059447</v>
      </c>
      <c r="M34" s="71">
        <f>(Y34+AB34)/Q34</f>
        <v>0.12323071479122434</v>
      </c>
      <c r="N34" s="57">
        <f>(E34*0.7635+F34*0.7562+G34*0.75+H34*0.7248+I34*0.7021+J34*0.6285+1-K34*0.5884+1-L34*0.5276+M34*0.3663)/6.931</f>
        <v>0.57868872190463427</v>
      </c>
      <c r="O34" s="64">
        <f>N34/0.5175*100</f>
        <v>111.8239076144221</v>
      </c>
      <c r="P34" s="155">
        <f>(O34-100)/100*Q34*0.3389</f>
        <v>452.96510372124538</v>
      </c>
      <c r="Q34" s="54">
        <v>11304</v>
      </c>
      <c r="R34" s="54">
        <f>Q34-Y34-AB34-AC34-AD34</f>
        <v>9801</v>
      </c>
      <c r="S34" s="19" t="s">
        <v>19</v>
      </c>
      <c r="T34" s="19">
        <v>2781</v>
      </c>
      <c r="U34" s="19">
        <v>524</v>
      </c>
      <c r="V34" s="19">
        <v>38</v>
      </c>
      <c r="W34" s="19">
        <v>630</v>
      </c>
      <c r="X34" s="19">
        <v>1836</v>
      </c>
      <c r="Y34" s="54">
        <v>1312</v>
      </c>
      <c r="Z34" s="19">
        <v>1779</v>
      </c>
      <c r="AA34" s="54">
        <f>T34+U34+V34*2+W34*3</f>
        <v>5271</v>
      </c>
      <c r="AB34" s="19">
        <v>81</v>
      </c>
      <c r="AC34" s="19">
        <v>8</v>
      </c>
      <c r="AD34" s="19">
        <v>102</v>
      </c>
      <c r="AE34" s="9"/>
      <c r="AF34" s="6">
        <v>1989</v>
      </c>
      <c r="AG34" s="77">
        <v>3.9410621559303395E-2</v>
      </c>
      <c r="AH34" s="85">
        <v>0.49701660988775132</v>
      </c>
      <c r="AI34" s="86">
        <v>0.50191343303830815</v>
      </c>
      <c r="AJ34" s="76">
        <v>5.4238813244768267E-3</v>
      </c>
      <c r="AK34" s="41">
        <v>5.0099999999999997E-3</v>
      </c>
      <c r="AL34" s="42">
        <v>1.0160404416589079E-2</v>
      </c>
      <c r="AM34" s="78">
        <v>7.7499999999999999E-3</v>
      </c>
      <c r="AN34" s="9"/>
      <c r="AO34" s="146" t="s">
        <v>271</v>
      </c>
      <c r="AP34" s="147">
        <v>0.28329327412718458</v>
      </c>
      <c r="AQ34" s="147">
        <v>0.31408760358532051</v>
      </c>
      <c r="AR34" s="147">
        <v>0.21291596164692611</v>
      </c>
      <c r="AS34" s="147">
        <v>0.42120750887874175</v>
      </c>
      <c r="AT34" s="147">
        <v>0.63419543261269884</v>
      </c>
      <c r="AU34" s="147">
        <v>1.4861081197501616E-2</v>
      </c>
      <c r="AV34" s="147">
        <v>0.10090458755115227</v>
      </c>
      <c r="AW34" s="147">
        <v>9.4808050059191615E-2</v>
      </c>
      <c r="AX34" s="147">
        <v>4.6609166243869439E-2</v>
      </c>
      <c r="AY34" s="147">
        <v>0.51670813262227699</v>
      </c>
      <c r="AZ34" s="162">
        <v>100.89985015080589</v>
      </c>
      <c r="BA34" s="177">
        <v>175.87950484339675</v>
      </c>
      <c r="BB34" s="9"/>
      <c r="BC34" s="150" t="s">
        <v>155</v>
      </c>
      <c r="BD34" s="151">
        <v>0.33261925164238787</v>
      </c>
      <c r="BE34" s="151">
        <v>0.42816774047699785</v>
      </c>
      <c r="BF34" s="151">
        <v>0.32914471017430075</v>
      </c>
      <c r="BG34" s="151">
        <v>0.57770995817791337</v>
      </c>
      <c r="BH34" s="151">
        <v>0.91185699647603802</v>
      </c>
      <c r="BI34" s="151">
        <v>3.6430834213305174E-2</v>
      </c>
      <c r="BJ34" s="151">
        <v>6.4941921858500534E-2</v>
      </c>
      <c r="BK34" s="151">
        <v>5.1429863230473605E-2</v>
      </c>
      <c r="BL34" s="151">
        <v>0.12151011642364644</v>
      </c>
      <c r="BM34" s="151">
        <v>0.56061065702044099</v>
      </c>
      <c r="BN34" s="165">
        <v>115.06786884656013</v>
      </c>
      <c r="BO34" s="168">
        <v>451.7721215382187</v>
      </c>
      <c r="BP34" s="9"/>
    </row>
    <row r="35" spans="1:68" x14ac:dyDescent="0.2">
      <c r="A35" s="9"/>
      <c r="B35" s="3">
        <v>1984</v>
      </c>
      <c r="C35" s="51" t="s">
        <v>129</v>
      </c>
      <c r="D35" s="26">
        <v>0.83099999999999996</v>
      </c>
      <c r="E35" s="71">
        <f>(T35-W35)/(R35-W35-Z35+AD35)</f>
        <v>0.25411488075243532</v>
      </c>
      <c r="F35" s="71">
        <f>AA35/Q35</f>
        <v>0.42133631648530456</v>
      </c>
      <c r="G35" s="71">
        <f>(U35+V35+W35)/T35</f>
        <v>0.42521572387344198</v>
      </c>
      <c r="H35" s="71">
        <f>(AA35+X35)/Q35</f>
        <v>0.58242652293298081</v>
      </c>
      <c r="I35" s="71">
        <f>(AA35/R35)+((T35+Y35+AB35)/(R35+Y35+AB35+AD35))</f>
        <v>0.8839779926690069</v>
      </c>
      <c r="J35" s="128">
        <f>W35/AA35</f>
        <v>0.13830557566980448</v>
      </c>
      <c r="K35" s="71">
        <f>(AC35+AD35)/AA35</f>
        <v>1.8585566014965003E-2</v>
      </c>
      <c r="L35" s="71">
        <f>Z35/Q35</f>
        <v>0.17278551815315774</v>
      </c>
      <c r="M35" s="71">
        <f>(Y35+AB35)/Q35</f>
        <v>0.16342926878877251</v>
      </c>
      <c r="N35" s="57">
        <f>(E35*0.7635+F35*0.7562+G35*0.75+H35*0.7248+I35*0.7021+J35*0.6285+1-K35*0.5884+1-L35*0.5276+M35*0.3663)/6.931</f>
        <v>0.56543334705027781</v>
      </c>
      <c r="O35" s="64">
        <f>N35/0.4978*100</f>
        <v>113.58644978912773</v>
      </c>
      <c r="P35" s="155">
        <f>(O35-100)/100*Q35*0.3389</f>
        <v>452.75535547153459</v>
      </c>
      <c r="Q35" s="54">
        <v>9833</v>
      </c>
      <c r="R35" s="54">
        <f>Q35-Y35-AB35-AC35-AD35</f>
        <v>8149</v>
      </c>
      <c r="S35" s="20" t="s">
        <v>19</v>
      </c>
      <c r="T35" s="19">
        <v>2086</v>
      </c>
      <c r="U35" s="19">
        <v>290</v>
      </c>
      <c r="V35" s="19">
        <v>24</v>
      </c>
      <c r="W35" s="19">
        <v>573</v>
      </c>
      <c r="X35" s="19">
        <v>1584</v>
      </c>
      <c r="Y35" s="54">
        <v>1559</v>
      </c>
      <c r="Z35" s="19">
        <v>1699</v>
      </c>
      <c r="AA35" s="54">
        <f>T35+U35+V35*2+W35*3</f>
        <v>4143</v>
      </c>
      <c r="AB35" s="19">
        <v>48</v>
      </c>
      <c r="AC35" s="19">
        <v>0</v>
      </c>
      <c r="AD35" s="19">
        <v>77</v>
      </c>
      <c r="AE35" s="9"/>
      <c r="AF35" s="6">
        <v>1988</v>
      </c>
      <c r="AG35" s="77">
        <v>4.0067762579997487E-2</v>
      </c>
      <c r="AH35" s="85">
        <v>0.49822737411476586</v>
      </c>
      <c r="AI35" s="86">
        <v>0.50115522858787109</v>
      </c>
      <c r="AJ35" s="76">
        <v>5.2704228886936884E-3</v>
      </c>
      <c r="AK35" s="41">
        <v>5.7600000000000004E-3</v>
      </c>
      <c r="AL35" s="42">
        <v>1.0227130129250847E-2</v>
      </c>
      <c r="AM35" s="78">
        <v>7.9399999999999991E-3</v>
      </c>
      <c r="AN35" s="9"/>
      <c r="AO35" s="146" t="s">
        <v>250</v>
      </c>
      <c r="AP35" s="147">
        <v>0.26899027327466418</v>
      </c>
      <c r="AQ35" s="147">
        <v>0.26772412584348437</v>
      </c>
      <c r="AR35" s="147">
        <v>0.22250639386189258</v>
      </c>
      <c r="AS35" s="147">
        <v>0.34422925247568137</v>
      </c>
      <c r="AT35" s="147">
        <v>0.56902100098048647</v>
      </c>
      <c r="AU35" s="154">
        <v>7.5286415711947625E-3</v>
      </c>
      <c r="AV35" s="154">
        <v>0.14369885433715221</v>
      </c>
      <c r="AW35" s="147">
        <v>0.15213390588029094</v>
      </c>
      <c r="AX35" s="147">
        <v>5.8627639996494611E-2</v>
      </c>
      <c r="AY35" s="154">
        <v>0.53441428793720347</v>
      </c>
      <c r="AZ35" s="162">
        <v>102.31941182025723</v>
      </c>
      <c r="BA35" s="177">
        <v>174.97206954539519</v>
      </c>
      <c r="BB35" s="9"/>
      <c r="BC35" s="150" t="s">
        <v>119</v>
      </c>
      <c r="BD35" s="151">
        <v>0.28738523456169035</v>
      </c>
      <c r="BE35" s="151">
        <v>0.43720886015780969</v>
      </c>
      <c r="BF35" s="151">
        <v>0.34968646255994096</v>
      </c>
      <c r="BG35" s="151">
        <v>0.57743131476376086</v>
      </c>
      <c r="BH35" s="151">
        <v>0.85330253968722358</v>
      </c>
      <c r="BI35" s="151">
        <v>9.2628832354859747E-2</v>
      </c>
      <c r="BJ35" s="151">
        <v>1.7612524461839529E-2</v>
      </c>
      <c r="BK35" s="151">
        <v>9.9439110181576196E-2</v>
      </c>
      <c r="BL35" s="151">
        <v>0.10343188516018632</v>
      </c>
      <c r="BM35" s="151">
        <v>0.55738043288968042</v>
      </c>
      <c r="BN35" s="165">
        <v>112.57936434855189</v>
      </c>
      <c r="BO35" s="168">
        <v>448.4403885108124</v>
      </c>
      <c r="BP35" s="9"/>
    </row>
    <row r="36" spans="1:68" x14ac:dyDescent="0.2">
      <c r="A36" s="9"/>
      <c r="B36" s="3">
        <v>1976</v>
      </c>
      <c r="C36" s="51" t="s">
        <v>155</v>
      </c>
      <c r="D36" s="26" t="s">
        <v>19</v>
      </c>
      <c r="E36" s="71">
        <f>(T36-W36)/(R36-W36-Z36+AD36)</f>
        <v>0.33261925164238787</v>
      </c>
      <c r="F36" s="71">
        <f>AA36/Q36</f>
        <v>0.42816774047699785</v>
      </c>
      <c r="G36" s="71">
        <f>(U36+V36+W36)/T36</f>
        <v>0.32914471017430075</v>
      </c>
      <c r="H36" s="71">
        <f>(AA36+X36)/Q36</f>
        <v>0.57770995817791337</v>
      </c>
      <c r="I36" s="71">
        <f>(AA36/R36)+((T36+Y36+AB36)/(R36+Y36+AB36+AD36))</f>
        <v>0.91185699647603802</v>
      </c>
      <c r="J36" s="71">
        <f>W36/AA36</f>
        <v>3.6430834213305174E-2</v>
      </c>
      <c r="K36" s="71">
        <f>(AC36+AD36)/AA36</f>
        <v>6.4941921858500534E-2</v>
      </c>
      <c r="L36" s="71">
        <f>Z36/Q36</f>
        <v>5.1429863230473605E-2</v>
      </c>
      <c r="M36" s="71">
        <f>(Y36+AB36)/Q36</f>
        <v>0.12151011642364644</v>
      </c>
      <c r="N36" s="57">
        <f>(E36*0.7635+F36*0.7562+G36*0.75+H36*0.7248+I36*0.7021+J36*0.6285+1-K36*0.5884+1-L36*0.5276+M36*0.3663)/6.931</f>
        <v>0.56061065702044099</v>
      </c>
      <c r="O36" s="64">
        <f>N36/0.4872*100</f>
        <v>115.06786884656013</v>
      </c>
      <c r="P36" s="155">
        <f>(O36-100)/100*Q36*0.3389</f>
        <v>451.7721215382187</v>
      </c>
      <c r="Q36" s="54">
        <v>8847</v>
      </c>
      <c r="R36" s="21">
        <f>Q36-Y36-AB36-AC36-AD36</f>
        <v>7526</v>
      </c>
      <c r="S36" s="20" t="s">
        <v>19</v>
      </c>
      <c r="T36" s="19">
        <v>2467</v>
      </c>
      <c r="U36" s="19">
        <v>441</v>
      </c>
      <c r="V36" s="19">
        <v>233</v>
      </c>
      <c r="W36" s="19">
        <v>138</v>
      </c>
      <c r="X36" s="19">
        <v>1323</v>
      </c>
      <c r="Y36" s="54">
        <v>1002</v>
      </c>
      <c r="Z36" s="19">
        <v>455</v>
      </c>
      <c r="AA36" s="54">
        <f>T36+U36+V36*2+W36*3</f>
        <v>3788</v>
      </c>
      <c r="AB36" s="21">
        <v>73</v>
      </c>
      <c r="AC36" s="21">
        <v>177</v>
      </c>
      <c r="AD36" s="21">
        <v>69</v>
      </c>
      <c r="AE36" s="9"/>
      <c r="AF36" s="6">
        <v>1987</v>
      </c>
      <c r="AG36" s="77">
        <v>4.1952298020034334E-2</v>
      </c>
      <c r="AH36" s="85">
        <v>0.51807313868902594</v>
      </c>
      <c r="AI36" s="86">
        <v>0.48872741920368279</v>
      </c>
      <c r="AJ36" s="76">
        <v>5.5335284890255798E-3</v>
      </c>
      <c r="AK36" s="41">
        <v>5.1999999999999998E-3</v>
      </c>
      <c r="AL36" s="42">
        <v>8.9858079816207796E-3</v>
      </c>
      <c r="AM36" s="78">
        <v>6.8599999999999998E-3</v>
      </c>
      <c r="AN36" s="9"/>
      <c r="AO36" s="146" t="s">
        <v>134</v>
      </c>
      <c r="AP36" s="147">
        <v>0.26378026070763499</v>
      </c>
      <c r="AQ36" s="147">
        <v>0.32654351338062793</v>
      </c>
      <c r="AR36" s="147">
        <v>0.24928639391056137</v>
      </c>
      <c r="AS36" s="147">
        <v>0.41989183114420175</v>
      </c>
      <c r="AT36" s="147">
        <v>0.62610371139983545</v>
      </c>
      <c r="AU36" s="147">
        <v>6.8832006883200694E-2</v>
      </c>
      <c r="AV36" s="147">
        <v>4.0869004086900411E-2</v>
      </c>
      <c r="AW36" s="147">
        <v>0.16176160708014328</v>
      </c>
      <c r="AX36" s="147">
        <v>5.2609398047341431E-2</v>
      </c>
      <c r="AY36" s="147">
        <v>0.51207469848035869</v>
      </c>
      <c r="AZ36" s="162">
        <v>101.7434330380208</v>
      </c>
      <c r="BA36" s="177">
        <v>164.09332448897908</v>
      </c>
      <c r="BB36" s="9"/>
      <c r="BC36" s="150" t="s">
        <v>46</v>
      </c>
      <c r="BD36" s="151">
        <v>0.30407621427455878</v>
      </c>
      <c r="BE36" s="151">
        <v>0.45161290322580644</v>
      </c>
      <c r="BF36" s="151">
        <v>0.41653160453808752</v>
      </c>
      <c r="BG36" s="151">
        <v>0.62074441687344917</v>
      </c>
      <c r="BH36" s="151">
        <v>0.97393512074078559</v>
      </c>
      <c r="BI36" s="151">
        <v>0.11450549450549451</v>
      </c>
      <c r="BJ36" s="151">
        <v>2.6593406593406595E-2</v>
      </c>
      <c r="BK36" s="151">
        <v>0.13866004962779158</v>
      </c>
      <c r="BL36" s="151">
        <v>0.17409429280397024</v>
      </c>
      <c r="BM36" s="151">
        <v>0.58674344426073322</v>
      </c>
      <c r="BN36" s="165">
        <v>113.09626913275504</v>
      </c>
      <c r="BO36" s="168">
        <v>447.16130511588625</v>
      </c>
      <c r="BP36" s="9"/>
    </row>
    <row r="37" spans="1:68" x14ac:dyDescent="0.2">
      <c r="A37" s="9"/>
      <c r="B37" s="3">
        <v>1987</v>
      </c>
      <c r="C37" s="51" t="s">
        <v>119</v>
      </c>
      <c r="D37" s="26">
        <v>0.85699999999999998</v>
      </c>
      <c r="E37" s="71">
        <f>(T37-W37)/(R37-W37-Z37+AD37)</f>
        <v>0.28738523456169035</v>
      </c>
      <c r="F37" s="71">
        <f>AA37/Q37</f>
        <v>0.43720886015780969</v>
      </c>
      <c r="G37" s="71">
        <f>(U37+V37+W37)/T37</f>
        <v>0.34968646255994096</v>
      </c>
      <c r="H37" s="71">
        <f>(AA37+X37)/Q37</f>
        <v>0.57743131476376086</v>
      </c>
      <c r="I37" s="71">
        <f>(AA37/R37)+((T37+Y37+AB37)/(R37+Y37+AB37+AD37))</f>
        <v>0.85330253968722358</v>
      </c>
      <c r="J37" s="71">
        <f>W37/AA37</f>
        <v>9.2628832354859747E-2</v>
      </c>
      <c r="K37" s="71">
        <f>(AC37+AD37)/AA37</f>
        <v>1.7612524461839529E-2</v>
      </c>
      <c r="L37" s="71">
        <f>Z37/Q37</f>
        <v>9.9439110181576196E-2</v>
      </c>
      <c r="M37" s="71">
        <f>(Y37+AB37)/Q37</f>
        <v>0.10343188516018632</v>
      </c>
      <c r="N37" s="57">
        <f>(E37*0.7635+F37*0.7562+G37*0.75+H37*0.7248+I37*0.7021+J37*0.6285+1-K37*0.5884+1-L37*0.5276+M37*0.3663)/6.931</f>
        <v>0.55738043288968042</v>
      </c>
      <c r="O37" s="64">
        <f>N37/0.4951*100</f>
        <v>112.57936434855189</v>
      </c>
      <c r="P37" s="155">
        <f>(O37-100)/100*Q37*0.3389</f>
        <v>448.4403885108124</v>
      </c>
      <c r="Q37" s="54">
        <v>10519</v>
      </c>
      <c r="R37" s="54">
        <f>Q37-Y37-AB37-AC37-AD37</f>
        <v>9350</v>
      </c>
      <c r="S37" s="20" t="s">
        <v>19</v>
      </c>
      <c r="T37" s="19">
        <v>2711</v>
      </c>
      <c r="U37" s="19">
        <v>434</v>
      </c>
      <c r="V37" s="19">
        <v>88</v>
      </c>
      <c r="W37" s="19">
        <v>426</v>
      </c>
      <c r="X37" s="19">
        <v>1475</v>
      </c>
      <c r="Y37" s="54">
        <v>1045</v>
      </c>
      <c r="Z37" s="19">
        <v>1046</v>
      </c>
      <c r="AA37" s="54">
        <f>T37+U37+V37*2+W37*3</f>
        <v>4599</v>
      </c>
      <c r="AB37" s="19">
        <v>43</v>
      </c>
      <c r="AC37" s="19">
        <v>8</v>
      </c>
      <c r="AD37" s="19">
        <v>73</v>
      </c>
      <c r="AE37" s="9"/>
      <c r="AF37" s="6">
        <v>1986</v>
      </c>
      <c r="AG37" s="77">
        <v>4.0476693729873552E-2</v>
      </c>
      <c r="AH37" s="85">
        <v>0.50759881957154451</v>
      </c>
      <c r="AI37" s="86">
        <v>0.49528664452020466</v>
      </c>
      <c r="AJ37" s="76">
        <v>5.3152469880267065E-3</v>
      </c>
      <c r="AK37" s="41">
        <v>5.0499999999999998E-3</v>
      </c>
      <c r="AL37" s="42">
        <v>9.4182446629946914E-3</v>
      </c>
      <c r="AM37" s="78">
        <v>7.3000000000000001E-3</v>
      </c>
      <c r="AN37" s="9"/>
      <c r="AO37" s="146" t="s">
        <v>174</v>
      </c>
      <c r="AP37" s="147">
        <v>0.27383987761346251</v>
      </c>
      <c r="AQ37" s="147">
        <v>0.30482784431137727</v>
      </c>
      <c r="AR37" s="147">
        <v>0.26202974628171477</v>
      </c>
      <c r="AS37" s="147">
        <v>0.40653068862275449</v>
      </c>
      <c r="AT37" s="147">
        <v>0.66934346339403161</v>
      </c>
      <c r="AU37" s="147">
        <v>4.2357274401473299E-2</v>
      </c>
      <c r="AV37" s="147">
        <v>6.5070595457335789E-2</v>
      </c>
      <c r="AW37" s="147">
        <v>0.13735029940119761</v>
      </c>
      <c r="AX37" s="147">
        <v>0.10376122754491018</v>
      </c>
      <c r="AY37" s="147">
        <v>0.5100663996042637</v>
      </c>
      <c r="AZ37" s="162">
        <v>102.32024064278109</v>
      </c>
      <c r="BA37" s="177">
        <v>163.94441718618262</v>
      </c>
      <c r="BB37" s="9"/>
      <c r="BC37" s="150" t="s">
        <v>146</v>
      </c>
      <c r="BD37" s="151">
        <v>0.27334748332322617</v>
      </c>
      <c r="BE37" s="151">
        <v>0.43055143055143053</v>
      </c>
      <c r="BF37" s="151">
        <v>0.40518358531317494</v>
      </c>
      <c r="BG37" s="151">
        <v>0.57439857439857445</v>
      </c>
      <c r="BH37" s="151">
        <v>0.88608261149485068</v>
      </c>
      <c r="BI37" s="151">
        <v>0.11772821338238676</v>
      </c>
      <c r="BJ37" s="151">
        <v>2.391354334329731E-2</v>
      </c>
      <c r="BK37" s="151">
        <v>0.14721314721314721</v>
      </c>
      <c r="BL37" s="151">
        <v>0.14553014553014554</v>
      </c>
      <c r="BM37" s="151">
        <v>0.56444577428732468</v>
      </c>
      <c r="BN37" s="165">
        <v>112.93432858890048</v>
      </c>
      <c r="BO37" s="168">
        <v>442.77167427620356</v>
      </c>
      <c r="BP37" s="9"/>
    </row>
    <row r="38" spans="1:68" x14ac:dyDescent="0.2">
      <c r="A38" s="9"/>
      <c r="B38" s="3">
        <v>2014</v>
      </c>
      <c r="C38" s="51" t="s">
        <v>46</v>
      </c>
      <c r="D38" s="26">
        <v>0.83699999999999997</v>
      </c>
      <c r="E38" s="71">
        <f>(T38-W38)/(R38-W38-Z38+AD38)</f>
        <v>0.30407621427455878</v>
      </c>
      <c r="F38" s="71">
        <f>AA38/Q38</f>
        <v>0.45161290322580644</v>
      </c>
      <c r="G38" s="71">
        <f>(U38+V38+W38)/T38</f>
        <v>0.41653160453808752</v>
      </c>
      <c r="H38" s="71">
        <f>(AA38+X38)/Q38</f>
        <v>0.62074441687344917</v>
      </c>
      <c r="I38" s="71">
        <f>(AA38/R38)+((T38+Y38+AB38)/(R38+Y38+AB38+AD38))</f>
        <v>0.97393512074078559</v>
      </c>
      <c r="J38" s="71">
        <f>W38/AA38</f>
        <v>0.11450549450549451</v>
      </c>
      <c r="K38" s="71">
        <f>(AC38+AD38)/AA38</f>
        <v>2.6593406593406595E-2</v>
      </c>
      <c r="L38" s="71">
        <f>Z38/Q38</f>
        <v>0.13866004962779158</v>
      </c>
      <c r="M38" s="71">
        <f>(Y38+AB38)/Q38</f>
        <v>0.17409429280397024</v>
      </c>
      <c r="N38" s="57">
        <f>(E38*0.7635+F38*0.7562+G38*0.75+H38*0.7248+I38*0.7021+J38*0.6285+1-K38*0.5884+1-L38*0.5276+M38*0.3663)/6.931</f>
        <v>0.58674344426073322</v>
      </c>
      <c r="O38" s="64">
        <f>N38/0.5188*100</f>
        <v>113.09626913275504</v>
      </c>
      <c r="P38" s="155">
        <f>(O38-100)/100*Q38*0.3389</f>
        <v>447.16130511588625</v>
      </c>
      <c r="Q38" s="54">
        <v>10075</v>
      </c>
      <c r="R38" s="54">
        <f>Q38-Y38-AB38-AC38-AD38</f>
        <v>8200</v>
      </c>
      <c r="S38" s="19" t="s">
        <v>19</v>
      </c>
      <c r="T38" s="19">
        <v>2468</v>
      </c>
      <c r="U38" s="19">
        <v>495</v>
      </c>
      <c r="V38" s="19">
        <v>12</v>
      </c>
      <c r="W38" s="19">
        <v>521</v>
      </c>
      <c r="X38" s="19">
        <v>1704</v>
      </c>
      <c r="Y38" s="54">
        <v>1667</v>
      </c>
      <c r="Z38" s="19">
        <v>1397</v>
      </c>
      <c r="AA38" s="54">
        <f>T38+U38+V38*2+W38*3</f>
        <v>4550</v>
      </c>
      <c r="AB38" s="19">
        <v>87</v>
      </c>
      <c r="AC38" s="19">
        <v>0</v>
      </c>
      <c r="AD38" s="19">
        <v>121</v>
      </c>
      <c r="AE38" s="9"/>
      <c r="AF38" s="6">
        <v>1985</v>
      </c>
      <c r="AG38" s="77">
        <v>4.0063622754491018E-2</v>
      </c>
      <c r="AH38" s="85">
        <v>0.50577926394598682</v>
      </c>
      <c r="AI38" s="86">
        <v>0.49642608615742362</v>
      </c>
      <c r="AJ38" s="76">
        <v>6.0192115768463077E-3</v>
      </c>
      <c r="AK38" s="41">
        <v>4.3600000000000002E-3</v>
      </c>
      <c r="AL38" s="42">
        <v>9.6619261477045911E-3</v>
      </c>
      <c r="AM38" s="78">
        <v>7.1399999999999996E-3</v>
      </c>
      <c r="AN38" s="9"/>
      <c r="AO38" s="146" t="s">
        <v>130</v>
      </c>
      <c r="AP38" s="147">
        <v>0.27459819678557429</v>
      </c>
      <c r="AQ38" s="147">
        <v>0.32269277151166914</v>
      </c>
      <c r="AR38" s="147">
        <v>0.26815823605706873</v>
      </c>
      <c r="AS38" s="147">
        <v>0.41434347733560334</v>
      </c>
      <c r="AT38" s="147">
        <v>0.64522617105171609</v>
      </c>
      <c r="AU38" s="147">
        <v>6.1991646515717737E-2</v>
      </c>
      <c r="AV38" s="147">
        <v>4.0008793141349745E-2</v>
      </c>
      <c r="AW38" s="147">
        <v>0.17634957792438108</v>
      </c>
      <c r="AX38" s="147">
        <v>7.1575512520394416E-2</v>
      </c>
      <c r="AY38" s="147">
        <v>0.50987343964148513</v>
      </c>
      <c r="AZ38" s="162">
        <v>101.75083608890145</v>
      </c>
      <c r="BA38" s="177">
        <v>163.16963677840647</v>
      </c>
      <c r="BB38" s="9"/>
      <c r="BC38" s="150" t="s">
        <v>88</v>
      </c>
      <c r="BD38" s="151">
        <v>0.30686857760951863</v>
      </c>
      <c r="BE38" s="151">
        <v>0.43389247311827955</v>
      </c>
      <c r="BF38" s="151">
        <v>0.3547875713379835</v>
      </c>
      <c r="BG38" s="151">
        <v>0.57118279569892472</v>
      </c>
      <c r="BH38" s="151">
        <v>0.85659896551135306</v>
      </c>
      <c r="BI38" s="151">
        <v>6.2846946867565423E-2</v>
      </c>
      <c r="BJ38" s="151">
        <v>2.8945281522601111E-2</v>
      </c>
      <c r="BK38" s="151">
        <v>7.8107526881720429E-2</v>
      </c>
      <c r="BL38" s="151">
        <v>9.7118279569892468E-2</v>
      </c>
      <c r="BM38" s="151">
        <v>0.55702475065221779</v>
      </c>
      <c r="BN38" s="165">
        <v>111.00533093906293</v>
      </c>
      <c r="BO38" s="168">
        <v>433.57839867262959</v>
      </c>
      <c r="BP38" s="9"/>
    </row>
    <row r="39" spans="1:68" x14ac:dyDescent="0.2">
      <c r="A39" s="9"/>
      <c r="B39" s="3">
        <v>1978</v>
      </c>
      <c r="C39" s="51" t="s">
        <v>146</v>
      </c>
      <c r="D39" s="26">
        <v>0.79400000000000004</v>
      </c>
      <c r="E39" s="71">
        <f>(T39-W39)/(R39-W39-Z39+AD39)</f>
        <v>0.27334748332322617</v>
      </c>
      <c r="F39" s="71">
        <f>AA39/Q39</f>
        <v>0.43055143055143053</v>
      </c>
      <c r="G39" s="71">
        <f>(U39+V39+W39)/T39</f>
        <v>0.40518358531317494</v>
      </c>
      <c r="H39" s="71">
        <f>(AA39+X39)/Q39</f>
        <v>0.57439857439857445</v>
      </c>
      <c r="I39" s="71">
        <f>(AA39/R39)+((T39+Y39+AB39)/(R39+Y39+AB39+AD39))</f>
        <v>0.88608261149485068</v>
      </c>
      <c r="J39" s="71">
        <f>W39/AA39</f>
        <v>0.11772821338238676</v>
      </c>
      <c r="K39" s="71">
        <f>(AC39+AD39)/AA39</f>
        <v>2.391354334329731E-2</v>
      </c>
      <c r="L39" s="71">
        <f>Z39/Q39</f>
        <v>0.14721314721314721</v>
      </c>
      <c r="M39" s="71">
        <f>(Y39+AB39)/Q39</f>
        <v>0.14553014553014554</v>
      </c>
      <c r="N39" s="57">
        <f>(E39*0.7635+F39*0.7562+G39*0.75+H39*0.7248+I39*0.7021+J39*0.6285+1-K39*0.5884+1-L39*0.5276+M39*0.3663)/6.931</f>
        <v>0.56444577428732468</v>
      </c>
      <c r="O39" s="64">
        <f>N39/0.4998*100</f>
        <v>112.93432858890048</v>
      </c>
      <c r="P39" s="155">
        <f>(O39-100)/100*Q39*0.3389</f>
        <v>442.77167427620356</v>
      </c>
      <c r="Q39" s="54">
        <v>10101</v>
      </c>
      <c r="R39" s="21">
        <f>Q39-Y39-AB39-AC39-AD39</f>
        <v>8527</v>
      </c>
      <c r="S39" s="20" t="s">
        <v>19</v>
      </c>
      <c r="T39" s="19">
        <v>2315</v>
      </c>
      <c r="U39" s="19">
        <v>354</v>
      </c>
      <c r="V39" s="19">
        <v>72</v>
      </c>
      <c r="W39" s="19">
        <v>512</v>
      </c>
      <c r="X39" s="19">
        <v>1453</v>
      </c>
      <c r="Y39" s="54">
        <v>1444</v>
      </c>
      <c r="Z39" s="19">
        <v>1487</v>
      </c>
      <c r="AA39" s="54">
        <f>T39+U39+V39*2+W39*3</f>
        <v>4349</v>
      </c>
      <c r="AB39" s="19">
        <v>26</v>
      </c>
      <c r="AC39" s="19">
        <v>36</v>
      </c>
      <c r="AD39" s="21">
        <v>68</v>
      </c>
      <c r="AE39" s="9"/>
      <c r="AF39" s="6">
        <v>1984</v>
      </c>
      <c r="AG39" s="77">
        <v>3.8694368670826949E-2</v>
      </c>
      <c r="AH39" s="85">
        <v>0.5016710258720487</v>
      </c>
      <c r="AI39" s="86">
        <v>0.49899874590538768</v>
      </c>
      <c r="AJ39" s="76">
        <v>6.1345490327964821E-3</v>
      </c>
      <c r="AK39" s="41">
        <v>4.1599999999999996E-3</v>
      </c>
      <c r="AL39" s="42">
        <v>8.9371348853430985E-3</v>
      </c>
      <c r="AM39" s="78">
        <v>8.0099999999999998E-3</v>
      </c>
      <c r="AN39" s="9"/>
      <c r="AO39" s="146" t="s">
        <v>104</v>
      </c>
      <c r="AP39" s="147">
        <v>0.2836586503230964</v>
      </c>
      <c r="AQ39" s="147">
        <v>0.32261783968268609</v>
      </c>
      <c r="AR39" s="147">
        <v>0.29066780821917809</v>
      </c>
      <c r="AS39" s="147">
        <v>0.42085600959321096</v>
      </c>
      <c r="AT39" s="147">
        <v>0.66562064510728902</v>
      </c>
      <c r="AU39" s="147">
        <v>5.9185132237312366E-2</v>
      </c>
      <c r="AV39" s="147">
        <v>5.1036454610436023E-2</v>
      </c>
      <c r="AW39" s="147">
        <v>0.19075731021123513</v>
      </c>
      <c r="AX39" s="147">
        <v>8.6984595517018731E-2</v>
      </c>
      <c r="AY39" s="147">
        <v>0.50693048040062261</v>
      </c>
      <c r="AZ39" s="162">
        <v>101.10300765868023</v>
      </c>
      <c r="BA39" s="177">
        <v>158.10478909894141</v>
      </c>
      <c r="BB39" s="9"/>
      <c r="BC39" s="150" t="s">
        <v>148</v>
      </c>
      <c r="BD39" s="151">
        <v>0.26653796653796652</v>
      </c>
      <c r="BE39" s="151">
        <v>0.45267410542516351</v>
      </c>
      <c r="BF39" s="151">
        <v>0.39063104916763453</v>
      </c>
      <c r="BG39" s="151">
        <v>0.61004232397075797</v>
      </c>
      <c r="BH39" s="151">
        <v>0.82948575064072938</v>
      </c>
      <c r="BI39" s="151">
        <v>0.1087972800679983</v>
      </c>
      <c r="BJ39" s="151">
        <v>2.9961750956226094E-2</v>
      </c>
      <c r="BK39" s="151">
        <v>0.11889188149288188</v>
      </c>
      <c r="BL39" s="151">
        <v>8.0126971912273956E-2</v>
      </c>
      <c r="BM39" s="151">
        <v>0.55990485560305125</v>
      </c>
      <c r="BN39" s="165">
        <v>112.11550973228898</v>
      </c>
      <c r="BO39" s="168">
        <v>426.85417197043364</v>
      </c>
      <c r="BP39" s="9"/>
    </row>
    <row r="40" spans="1:68" x14ac:dyDescent="0.2">
      <c r="A40" s="9"/>
      <c r="B40" s="3">
        <v>1999</v>
      </c>
      <c r="C40" s="51" t="s">
        <v>88</v>
      </c>
      <c r="D40" s="26">
        <v>0.98199999999999998</v>
      </c>
      <c r="E40" s="71">
        <f>(T40-W40)/(R40-W40-Z40+AD40)</f>
        <v>0.30686857760951863</v>
      </c>
      <c r="F40" s="71">
        <f>AA40/Q40</f>
        <v>0.43389247311827955</v>
      </c>
      <c r="G40" s="71">
        <f>(U40+V40+W40)/T40</f>
        <v>0.3547875713379835</v>
      </c>
      <c r="H40" s="71">
        <f>(AA40+X40)/Q40</f>
        <v>0.57118279569892472</v>
      </c>
      <c r="I40" s="71">
        <f>(AA40/R40)+((T40+Y40+AB40)/(R40+Y40+AB40+AD40))</f>
        <v>0.85659896551135306</v>
      </c>
      <c r="J40" s="71">
        <f>W40/AA40</f>
        <v>6.2846946867565423E-2</v>
      </c>
      <c r="K40" s="71">
        <f>(AC40+AD40)/AA40</f>
        <v>2.8945281522601111E-2</v>
      </c>
      <c r="L40" s="71">
        <f>Z40/Q40</f>
        <v>7.8107526881720429E-2</v>
      </c>
      <c r="M40" s="71">
        <f>(Y40+AB40)/Q40</f>
        <v>9.7118279569892468E-2</v>
      </c>
      <c r="N40" s="57">
        <f>(E40*0.7635+F40*0.7562+G40*0.75+H40*0.7248+I40*0.7021+J40*0.6285+1-K40*0.5884+1-L40*0.5276+M40*0.3663)/6.931</f>
        <v>0.55702475065221779</v>
      </c>
      <c r="O40" s="64">
        <f>N40/0.5018*100</f>
        <v>111.00533093906293</v>
      </c>
      <c r="P40" s="155">
        <f>(O40-100)/100*Q40*0.3389</f>
        <v>433.57839867262959</v>
      </c>
      <c r="Q40" s="54">
        <v>11625</v>
      </c>
      <c r="R40" s="54">
        <f>Q40-Y40-AB40-AC40-AD40</f>
        <v>10350</v>
      </c>
      <c r="S40" s="20" t="s">
        <v>19</v>
      </c>
      <c r="T40" s="19">
        <v>3154</v>
      </c>
      <c r="U40" s="19">
        <v>665</v>
      </c>
      <c r="V40" s="19">
        <v>137</v>
      </c>
      <c r="W40" s="19">
        <v>317</v>
      </c>
      <c r="X40" s="19">
        <v>1596</v>
      </c>
      <c r="Y40" s="54">
        <v>1096</v>
      </c>
      <c r="Z40" s="19">
        <v>908</v>
      </c>
      <c r="AA40" s="54">
        <f>T40+U40+V40*2+W40*3</f>
        <v>5044</v>
      </c>
      <c r="AB40" s="19">
        <v>33</v>
      </c>
      <c r="AC40" s="19">
        <v>26</v>
      </c>
      <c r="AD40" s="19">
        <v>120</v>
      </c>
      <c r="AE40" s="9"/>
      <c r="AF40" s="6">
        <v>1983</v>
      </c>
      <c r="AG40" s="77">
        <v>4.0239081032282166E-2</v>
      </c>
      <c r="AH40" s="85">
        <v>0.50442766904064618</v>
      </c>
      <c r="AI40" s="86">
        <v>0.49727248155757864</v>
      </c>
      <c r="AJ40" s="76">
        <v>6.4315288111322106E-3</v>
      </c>
      <c r="AK40" s="41">
        <v>4.4600000000000004E-3</v>
      </c>
      <c r="AL40" s="42">
        <v>9.7188930050119849E-3</v>
      </c>
      <c r="AM40" s="78">
        <v>7.8200000000000006E-3</v>
      </c>
      <c r="AN40" s="9"/>
      <c r="AO40" s="146" t="s">
        <v>247</v>
      </c>
      <c r="AP40" s="147">
        <v>0.28343949044585987</v>
      </c>
      <c r="AQ40" s="147">
        <v>0.28657235881890647</v>
      </c>
      <c r="AR40" s="147">
        <v>0.21147043961596765</v>
      </c>
      <c r="AS40" s="147">
        <v>0.37448074548108229</v>
      </c>
      <c r="AT40" s="147">
        <v>0.62042946975663638</v>
      </c>
      <c r="AU40" s="147">
        <v>8.2272282076395684E-3</v>
      </c>
      <c r="AV40" s="147">
        <v>0.1157688540646425</v>
      </c>
      <c r="AW40" s="147">
        <v>0.12608061075558549</v>
      </c>
      <c r="AX40" s="147">
        <v>7.0843157067475016E-2</v>
      </c>
      <c r="AY40" s="147">
        <v>0.52446474423173972</v>
      </c>
      <c r="AZ40" s="162">
        <v>101.32626434152623</v>
      </c>
      <c r="BA40" s="177">
        <v>156.1919684704375</v>
      </c>
      <c r="BB40" s="9"/>
      <c r="BC40" s="150" t="s">
        <v>142</v>
      </c>
      <c r="BD40" s="151">
        <v>0.3079834204361146</v>
      </c>
      <c r="BE40" s="151">
        <v>0.46922423212334585</v>
      </c>
      <c r="BF40" s="151">
        <v>0.40170132325141777</v>
      </c>
      <c r="BG40" s="151">
        <v>0.6310549957508802</v>
      </c>
      <c r="BH40" s="151">
        <v>0.92156674806223426</v>
      </c>
      <c r="BI40" s="151">
        <v>0.10530401034928849</v>
      </c>
      <c r="BJ40" s="151">
        <v>2.8978007761966365E-2</v>
      </c>
      <c r="BK40" s="151">
        <v>0.15017603496418599</v>
      </c>
      <c r="BL40" s="151">
        <v>0.12043219618793249</v>
      </c>
      <c r="BM40" s="151">
        <v>0.5785144598415618</v>
      </c>
      <c r="BN40" s="165">
        <v>114.89860175602023</v>
      </c>
      <c r="BO40" s="168">
        <v>415.89734344944355</v>
      </c>
      <c r="BP40" s="9"/>
    </row>
    <row r="41" spans="1:68" x14ac:dyDescent="0.2">
      <c r="A41" s="9"/>
      <c r="B41" s="3">
        <v>1936</v>
      </c>
      <c r="C41" s="106" t="s">
        <v>276</v>
      </c>
      <c r="D41" s="98">
        <v>0.83599999999999997</v>
      </c>
      <c r="E41" s="103">
        <f>(T41-W41)/(R41-W41-Z41+AD41)</f>
        <v>0.2711864406779661</v>
      </c>
      <c r="F41" s="103">
        <f>AA41/Q41</f>
        <v>0.27691650651291905</v>
      </c>
      <c r="G41" s="103">
        <f>(U41+V41+W41)/T41</f>
        <v>0.22939141054345613</v>
      </c>
      <c r="H41" s="103">
        <f>(AA41+S41)/Q41</f>
        <v>0.35814648729446935</v>
      </c>
      <c r="I41" s="103">
        <f>(AA41/R41)+((T41+Y41+AB41)/(R41+Y41+AB41+AD41))</f>
        <v>0.58719059440721988</v>
      </c>
      <c r="J41" s="103">
        <f>W41/AA41</f>
        <v>1.4959901295496607E-2</v>
      </c>
      <c r="K41" s="103">
        <f>(AC41+AD41)/AA41</f>
        <v>8.6212214682294883E-2</v>
      </c>
      <c r="L41" s="103">
        <f>Z41/Q41</f>
        <v>0.14986120008541534</v>
      </c>
      <c r="M41" s="103">
        <f>(Y41+AB41)/Q41</f>
        <v>6.6965620328849035E-2</v>
      </c>
      <c r="N41" s="104">
        <f>(1-E41*0.7635+1-F41*0.7562+1-G41*0.75+1-H41*0.7248+1-I41*0.7021+1-J41*0.6285+K41*0.5884+L41*0.5276+1-M41*0.3663)/11.068</f>
        <v>0.52724182089617111</v>
      </c>
      <c r="O41" s="105">
        <f>N41/0.513*100</f>
        <v>102.77618341055967</v>
      </c>
      <c r="P41" s="102">
        <f>(O41-100)/100*Q41*0.6611</f>
        <v>429.74365576462128</v>
      </c>
      <c r="Q41" s="54">
        <v>23415</v>
      </c>
      <c r="R41" s="21">
        <f>Q41-Y41-AB41-AC41-AD41</f>
        <v>21288</v>
      </c>
      <c r="S41" s="19">
        <v>1902</v>
      </c>
      <c r="T41" s="19">
        <v>4913</v>
      </c>
      <c r="U41" s="21">
        <v>780</v>
      </c>
      <c r="V41" s="21">
        <v>250</v>
      </c>
      <c r="W41" s="19">
        <v>97</v>
      </c>
      <c r="X41" s="19" t="s">
        <v>19</v>
      </c>
      <c r="Y41" s="54">
        <v>1363</v>
      </c>
      <c r="Z41" s="19">
        <v>3509</v>
      </c>
      <c r="AA41" s="21">
        <f>T41+U41+V41*2+W41*3</f>
        <v>6484</v>
      </c>
      <c r="AB41" s="19">
        <v>205</v>
      </c>
      <c r="AC41" s="21">
        <v>482</v>
      </c>
      <c r="AD41" s="21">
        <v>77</v>
      </c>
      <c r="AE41" s="9"/>
      <c r="AF41" s="6">
        <v>1982</v>
      </c>
      <c r="AG41" s="77">
        <v>3.9204489025722516E-2</v>
      </c>
      <c r="AH41" s="85">
        <v>0.50355533470492853</v>
      </c>
      <c r="AI41" s="86">
        <v>0.49781875453199681</v>
      </c>
      <c r="AJ41" s="76">
        <v>5.9837123845466285E-3</v>
      </c>
      <c r="AK41" s="41">
        <v>4.1999999999999997E-3</v>
      </c>
      <c r="AL41" s="42">
        <v>1.0800476710696196E-2</v>
      </c>
      <c r="AM41" s="78">
        <v>7.5799999999999999E-3</v>
      </c>
      <c r="AN41" s="9"/>
      <c r="AO41" s="146" t="s">
        <v>32</v>
      </c>
      <c r="AP41" s="147">
        <v>0.26576416102600642</v>
      </c>
      <c r="AQ41" s="147">
        <v>0.31267092069279856</v>
      </c>
      <c r="AR41" s="147">
        <v>0.35106382978723405</v>
      </c>
      <c r="AS41" s="147">
        <v>0.39881494986326343</v>
      </c>
      <c r="AT41" s="147">
        <v>0.60890313243521133</v>
      </c>
      <c r="AU41" s="147">
        <v>7.2886297376093298E-2</v>
      </c>
      <c r="AV41" s="147">
        <v>4.5189504373177841E-2</v>
      </c>
      <c r="AW41" s="147">
        <v>0.25820419325432997</v>
      </c>
      <c r="AX41" s="147">
        <v>7.2014585232452147E-2</v>
      </c>
      <c r="AY41" s="147">
        <v>0.51241484747084465</v>
      </c>
      <c r="AZ41" s="162">
        <v>105.30514744571407</v>
      </c>
      <c r="BA41" s="177">
        <v>153.89738300274578</v>
      </c>
      <c r="BB41" s="9"/>
      <c r="BC41" s="150" t="s">
        <v>141</v>
      </c>
      <c r="BD41" s="151">
        <v>0.29632996250426086</v>
      </c>
      <c r="BE41" s="151">
        <v>0.41838406484435631</v>
      </c>
      <c r="BF41" s="151">
        <v>0.32324575989358162</v>
      </c>
      <c r="BG41" s="151">
        <v>0.55479865482452362</v>
      </c>
      <c r="BH41" s="151">
        <v>0.85524217552841331</v>
      </c>
      <c r="BI41" s="151">
        <v>8.2234130255564711E-2</v>
      </c>
      <c r="BJ41" s="151">
        <v>3.070898598516076E-2</v>
      </c>
      <c r="BK41" s="151">
        <v>8.7953781150297491E-2</v>
      </c>
      <c r="BL41" s="151">
        <v>0.11485729067862378</v>
      </c>
      <c r="BM41" s="151">
        <v>0.55070417930103055</v>
      </c>
      <c r="BN41" s="165">
        <v>110.49441799779906</v>
      </c>
      <c r="BO41" s="168">
        <v>412.45406134889214</v>
      </c>
      <c r="BP41" s="9"/>
    </row>
    <row r="42" spans="1:68" x14ac:dyDescent="0.2">
      <c r="A42" s="9"/>
      <c r="B42" s="3">
        <v>1977</v>
      </c>
      <c r="C42" s="51" t="s">
        <v>148</v>
      </c>
      <c r="D42" s="26">
        <v>0.83799999999999997</v>
      </c>
      <c r="E42" s="71">
        <f>(T42-W42)/(R42-W42-Z42+AD42)</f>
        <v>0.26653796653796652</v>
      </c>
      <c r="F42" s="71">
        <f>AA42/Q42</f>
        <v>0.45267410542516351</v>
      </c>
      <c r="G42" s="71">
        <f>(U42+V42+W42)/T42</f>
        <v>0.39063104916763453</v>
      </c>
      <c r="H42" s="72">
        <f>(AA42+X42)/Q42</f>
        <v>0.61004232397075797</v>
      </c>
      <c r="I42" s="71">
        <f>(AA42/R42)+((T42+Y42+AB42)/(R42+Y42+AB42+AD42))</f>
        <v>0.82948575064072938</v>
      </c>
      <c r="J42" s="71">
        <f>W42/AA42</f>
        <v>0.1087972800679983</v>
      </c>
      <c r="K42" s="71">
        <f>(AC42+AD42)/AA42</f>
        <v>2.9961750956226094E-2</v>
      </c>
      <c r="L42" s="71">
        <f>Z42/Q42</f>
        <v>0.11889188149288188</v>
      </c>
      <c r="M42" s="71">
        <f>(Y42+AB42)/Q42</f>
        <v>8.0126971912273956E-2</v>
      </c>
      <c r="N42" s="58">
        <f>(E42*0.7635+F42*0.7562+G42*0.75+H42*0.7248+I42*0.7021+J42*0.6285+1-K42*0.5884+1-L42*0.5276+M42*0.3663)/6.931</f>
        <v>0.55990485560305125</v>
      </c>
      <c r="O42" s="65">
        <f>N42/0.4994*100</f>
        <v>112.11550973228898</v>
      </c>
      <c r="P42" s="155">
        <f>(O42-100)/100*Q42*0.3389</f>
        <v>426.85417197043364</v>
      </c>
      <c r="Q42" s="54">
        <v>10396</v>
      </c>
      <c r="R42" s="54">
        <f>Q42-Y42-AB42-AC42-AD42</f>
        <v>9422</v>
      </c>
      <c r="S42" s="19" t="s">
        <v>19</v>
      </c>
      <c r="T42" s="19">
        <v>2583</v>
      </c>
      <c r="U42" s="19">
        <v>407</v>
      </c>
      <c r="V42" s="19">
        <v>90</v>
      </c>
      <c r="W42" s="19">
        <v>512</v>
      </c>
      <c r="X42" s="19">
        <v>1636</v>
      </c>
      <c r="Y42" s="54">
        <v>763</v>
      </c>
      <c r="Z42" s="19">
        <v>1236</v>
      </c>
      <c r="AA42" s="54">
        <f>T42+U42+V42*2+W42*3</f>
        <v>4706</v>
      </c>
      <c r="AB42" s="19">
        <v>70</v>
      </c>
      <c r="AC42" s="19">
        <v>45</v>
      </c>
      <c r="AD42" s="19">
        <v>96</v>
      </c>
      <c r="AE42" s="9"/>
      <c r="AF42" s="6">
        <v>1981</v>
      </c>
      <c r="AG42" s="77">
        <v>3.7774336116042757E-2</v>
      </c>
      <c r="AH42" s="85">
        <v>0.49315559782977575</v>
      </c>
      <c r="AI42" s="86">
        <v>0.50433127497667363</v>
      </c>
      <c r="AJ42" s="76">
        <v>6.2233218751180444E-3</v>
      </c>
      <c r="AK42" s="41">
        <v>4.3800000000000002E-3</v>
      </c>
      <c r="AL42" s="42">
        <v>1.1823367204321384E-2</v>
      </c>
      <c r="AM42" s="78">
        <v>7.8300000000000002E-3</v>
      </c>
      <c r="AN42" s="9"/>
      <c r="AO42" s="146" t="s">
        <v>249</v>
      </c>
      <c r="AP42" s="147">
        <v>0.29715477066470442</v>
      </c>
      <c r="AQ42" s="147">
        <v>0.27635060168985237</v>
      </c>
      <c r="AR42" s="147">
        <v>0.22560975609756098</v>
      </c>
      <c r="AS42" s="147">
        <v>0.36707348297345738</v>
      </c>
      <c r="AT42" s="147">
        <v>0.60649959573455337</v>
      </c>
      <c r="AU42" s="147">
        <v>1.1426806670784434E-2</v>
      </c>
      <c r="AV42" s="147">
        <v>0.12075355157504633</v>
      </c>
      <c r="AW42" s="147">
        <v>0.19766151745327301</v>
      </c>
      <c r="AX42" s="147">
        <v>7.8091661688145436E-2</v>
      </c>
      <c r="AY42" s="147">
        <v>0.52788320804013533</v>
      </c>
      <c r="AZ42" s="162">
        <v>101.98670943588397</v>
      </c>
      <c r="BA42" s="177">
        <v>153.89267245672886</v>
      </c>
      <c r="BB42" s="9"/>
      <c r="BC42" s="150" t="s">
        <v>21</v>
      </c>
      <c r="BD42" s="151">
        <v>0.33165360209033223</v>
      </c>
      <c r="BE42" s="151">
        <v>0.48617683686176838</v>
      </c>
      <c r="BF42" s="151">
        <v>0.42407407407407405</v>
      </c>
      <c r="BG42" s="151">
        <v>0.64943960149439606</v>
      </c>
      <c r="BH42" s="151">
        <v>0.96544804109496907</v>
      </c>
      <c r="BI42" s="151">
        <v>9.8104508196721313E-2</v>
      </c>
      <c r="BJ42" s="151">
        <v>1.8442622950819672E-2</v>
      </c>
      <c r="BK42" s="151">
        <v>0.15330012453300124</v>
      </c>
      <c r="BL42" s="151">
        <v>0.13088418430884186</v>
      </c>
      <c r="BM42" s="151">
        <v>0.59231621305272009</v>
      </c>
      <c r="BN42" s="165">
        <v>114.61227032753871</v>
      </c>
      <c r="BO42" s="168">
        <v>397.65350264443032</v>
      </c>
      <c r="BP42" s="9"/>
    </row>
    <row r="43" spans="1:68" x14ac:dyDescent="0.2">
      <c r="A43" s="9"/>
      <c r="B43" s="3">
        <v>2015</v>
      </c>
      <c r="C43" s="106" t="s">
        <v>40</v>
      </c>
      <c r="D43" s="98">
        <v>0.97299999999999998</v>
      </c>
      <c r="E43" s="99">
        <f>(T43-W43)/(R43-W43-Z43+AD43)</f>
        <v>0.29458998293686639</v>
      </c>
      <c r="F43" s="99">
        <f>AA43/Q43</f>
        <v>0.31376340305853401</v>
      </c>
      <c r="G43" s="99">
        <f>(U43+V43+W43)/T43</f>
        <v>0.33741781231320978</v>
      </c>
      <c r="H43" s="99">
        <f>(AA43+S43)/Q43</f>
        <v>0.4135466104177653</v>
      </c>
      <c r="I43" s="99">
        <f>(AA43/R43)+((T43+Y43+AB43)/(R43+Y43+AB43+AD43))</f>
        <v>0.65040979979883917</v>
      </c>
      <c r="J43" s="99">
        <f>W43/AA43</f>
        <v>7.675070028011205E-2</v>
      </c>
      <c r="K43" s="99">
        <f>(AC43+AD43)/AA43</f>
        <v>4.1083099906629318E-2</v>
      </c>
      <c r="L43" s="130">
        <f>Z43/Q43</f>
        <v>0.28563895236421166</v>
      </c>
      <c r="M43" s="99">
        <f>(Y43+AB43)/Q43</f>
        <v>9.8845725669420514E-2</v>
      </c>
      <c r="N43" s="100">
        <f>(1-E43*0.7635+1-F43*0.7562+1-G43*0.75+1-H43*0.7248+1-I43*0.7021+1-J43*0.6285+K43*0.5884+L43*0.5276+1-M43*0.3663)/11.068</f>
        <v>0.50766077001662724</v>
      </c>
      <c r="O43" s="101">
        <f>N43/0.4895*100</f>
        <v>103.7100653762262</v>
      </c>
      <c r="P43" s="102">
        <f>(O43-100)/100*Q43*0.6611</f>
        <v>418.60644266548314</v>
      </c>
      <c r="Q43" s="54">
        <v>17067</v>
      </c>
      <c r="R43" s="54">
        <f>Q43-Y43-AB43-AC43-AD43</f>
        <v>15160</v>
      </c>
      <c r="S43" s="19">
        <v>1703</v>
      </c>
      <c r="T43" s="19">
        <v>3346</v>
      </c>
      <c r="U43" s="19">
        <v>660</v>
      </c>
      <c r="V43" s="19">
        <v>58</v>
      </c>
      <c r="W43" s="19">
        <v>411</v>
      </c>
      <c r="X43" s="19" t="s">
        <v>19</v>
      </c>
      <c r="Y43" s="54">
        <v>1497</v>
      </c>
      <c r="Z43" s="19">
        <v>4875</v>
      </c>
      <c r="AA43" s="54">
        <f>T43+U43+V43*2+W43*3</f>
        <v>5355</v>
      </c>
      <c r="AB43" s="19">
        <v>190</v>
      </c>
      <c r="AC43" s="19">
        <v>131</v>
      </c>
      <c r="AD43" s="19">
        <v>89</v>
      </c>
      <c r="AE43" s="9"/>
      <c r="AF43" s="6">
        <v>1980</v>
      </c>
      <c r="AG43" s="77">
        <v>3.9358600583090382E-2</v>
      </c>
      <c r="AH43" s="85">
        <v>0.50257550183499744</v>
      </c>
      <c r="AI43" s="86">
        <v>0.49843234520976093</v>
      </c>
      <c r="AJ43" s="76">
        <v>6.6745239129086288E-3</v>
      </c>
      <c r="AK43" s="41">
        <v>4.0800000000000003E-3</v>
      </c>
      <c r="AL43" s="42">
        <v>1.16804168475901E-2</v>
      </c>
      <c r="AM43" s="78">
        <v>8.0400000000000003E-3</v>
      </c>
      <c r="AN43" s="9"/>
      <c r="AO43" s="146" t="s">
        <v>51</v>
      </c>
      <c r="AP43" s="147">
        <v>0.28569485994016863</v>
      </c>
      <c r="AQ43" s="147">
        <v>0.33505758344719888</v>
      </c>
      <c r="AR43" s="147">
        <v>0.27158894645941278</v>
      </c>
      <c r="AS43" s="147">
        <v>0.43407183291040408</v>
      </c>
      <c r="AT43" s="147">
        <v>0.6675116501513505</v>
      </c>
      <c r="AU43" s="147">
        <v>6.2627439557238568E-2</v>
      </c>
      <c r="AV43" s="147">
        <v>4.3256626856976406E-2</v>
      </c>
      <c r="AW43" s="147">
        <v>0.18060706617216474</v>
      </c>
      <c r="AX43" s="147">
        <v>7.2076908061682612E-2</v>
      </c>
      <c r="AY43" s="147">
        <v>0.5056479848295975</v>
      </c>
      <c r="AZ43" s="162">
        <v>101.1295969659195</v>
      </c>
      <c r="BA43" s="177">
        <v>153.02945148039018</v>
      </c>
      <c r="BB43" s="9"/>
      <c r="BC43" s="150" t="s">
        <v>191</v>
      </c>
      <c r="BD43" s="151">
        <v>0.32936046511627909</v>
      </c>
      <c r="BE43" s="151">
        <v>0.47304433255556921</v>
      </c>
      <c r="BF43" s="151">
        <v>0.34722784297855119</v>
      </c>
      <c r="BG43" s="151">
        <v>0.64288345818494408</v>
      </c>
      <c r="BH43" s="151">
        <v>0.87098326983296448</v>
      </c>
      <c r="BI43" s="151">
        <v>5.3219106957424711E-2</v>
      </c>
      <c r="BJ43" s="151">
        <v>2.8037383177570093E-2</v>
      </c>
      <c r="BK43" s="151">
        <v>6.7665479552990293E-2</v>
      </c>
      <c r="BL43" s="151">
        <v>5.6858651602603463E-2</v>
      </c>
      <c r="BM43" s="151">
        <v>0.56978228760666871</v>
      </c>
      <c r="BN43" s="165">
        <v>114.07052804938314</v>
      </c>
      <c r="BO43" s="168">
        <v>388.2991142718642</v>
      </c>
      <c r="BP43" s="9"/>
    </row>
    <row r="44" spans="1:68" x14ac:dyDescent="0.2">
      <c r="A44" s="9"/>
      <c r="B44" s="3">
        <v>1980</v>
      </c>
      <c r="C44" s="51" t="s">
        <v>142</v>
      </c>
      <c r="D44" s="26">
        <v>0.86499999999999999</v>
      </c>
      <c r="E44" s="71">
        <f>(T44-W44)/(R44-W44-Z44+AD44)</f>
        <v>0.3079834204361146</v>
      </c>
      <c r="F44" s="71">
        <f>AA44/Q44</f>
        <v>0.46922423212334585</v>
      </c>
      <c r="G44" s="71">
        <f>(U44+V44+W44)/T44</f>
        <v>0.40170132325141777</v>
      </c>
      <c r="H44" s="72">
        <f>(AA44+X44)/Q44</f>
        <v>0.6310549957508802</v>
      </c>
      <c r="I44" s="71">
        <f>(AA44/R44)+((T44+Y44+AB44)/(R44+Y44+AB44+AD44))</f>
        <v>0.92156674806223426</v>
      </c>
      <c r="J44" s="71">
        <f>W44/AA44</f>
        <v>0.10530401034928849</v>
      </c>
      <c r="K44" s="71">
        <f>(AC44+AD44)/AA44</f>
        <v>2.8978007761966365E-2</v>
      </c>
      <c r="L44" s="71">
        <f>Z44/Q44</f>
        <v>0.15017603496418599</v>
      </c>
      <c r="M44" s="71">
        <f>(Y44+AB44)/Q44</f>
        <v>0.12043219618793249</v>
      </c>
      <c r="N44" s="58">
        <f>(E44*0.7635+F44*0.7562+G44*0.75+H44*0.7248+I44*0.7021+J44*0.6285+1-K44*0.5884+1-L44*0.5276+M44*0.3663)/6.931</f>
        <v>0.5785144598415618</v>
      </c>
      <c r="O44" s="65">
        <f>N44/0.5035*100</f>
        <v>114.89860175602023</v>
      </c>
      <c r="P44" s="155">
        <f>(O44-100)/100*Q44*0.3389</f>
        <v>415.89734344944355</v>
      </c>
      <c r="Q44" s="54">
        <v>8237</v>
      </c>
      <c r="R44" s="21">
        <f>Q44-Y44-AB44-AC44-AD44</f>
        <v>7133</v>
      </c>
      <c r="S44" s="20" t="s">
        <v>19</v>
      </c>
      <c r="T44" s="19">
        <v>2116</v>
      </c>
      <c r="U44" s="19">
        <v>358</v>
      </c>
      <c r="V44" s="19">
        <v>85</v>
      </c>
      <c r="W44" s="19">
        <v>407</v>
      </c>
      <c r="X44" s="19">
        <v>1333</v>
      </c>
      <c r="Y44" s="54">
        <v>971</v>
      </c>
      <c r="Z44" s="19">
        <v>1237</v>
      </c>
      <c r="AA44" s="54">
        <f>T44+U44+V44*2+W44*3</f>
        <v>3865</v>
      </c>
      <c r="AB44" s="19">
        <v>21</v>
      </c>
      <c r="AC44" s="19">
        <v>52</v>
      </c>
      <c r="AD44" s="21">
        <v>60</v>
      </c>
      <c r="AE44" s="9"/>
      <c r="AF44" s="6">
        <v>1979</v>
      </c>
      <c r="AG44" s="77">
        <v>3.9999251767698814E-2</v>
      </c>
      <c r="AH44" s="85">
        <v>0.50784172760330148</v>
      </c>
      <c r="AI44" s="86">
        <v>0.49513453071752056</v>
      </c>
      <c r="AJ44" s="76">
        <v>6.6467969422239958E-3</v>
      </c>
      <c r="AK44" s="41">
        <v>4.7000000000000002E-3</v>
      </c>
      <c r="AL44" s="42">
        <v>1.1822070358777389E-2</v>
      </c>
      <c r="AM44" s="78">
        <v>8.1899999999999994E-3</v>
      </c>
      <c r="AN44" s="9"/>
      <c r="AO44" s="146" t="s">
        <v>189</v>
      </c>
      <c r="AP44" s="147">
        <v>0.27939801832118155</v>
      </c>
      <c r="AQ44" s="147">
        <v>0.30979020979020977</v>
      </c>
      <c r="AR44" s="147">
        <v>0.22062193126022914</v>
      </c>
      <c r="AS44" s="147">
        <v>0.40512820512820513</v>
      </c>
      <c r="AT44" s="147">
        <v>0.65152314380420562</v>
      </c>
      <c r="AU44" s="147">
        <v>1.6553799849510911E-2</v>
      </c>
      <c r="AV44" s="147">
        <v>9.9322799097065456E-2</v>
      </c>
      <c r="AW44" s="147">
        <v>7.6223776223776227E-2</v>
      </c>
      <c r="AX44" s="147">
        <v>6.4646464646464646E-2</v>
      </c>
      <c r="AY44" s="147">
        <v>0.51503899726241009</v>
      </c>
      <c r="AZ44" s="162">
        <v>101.76625118798856</v>
      </c>
      <c r="BA44" s="177">
        <v>150.2789565908077</v>
      </c>
      <c r="BB44" s="9"/>
      <c r="BC44" s="150" t="s">
        <v>79</v>
      </c>
      <c r="BD44" s="151">
        <v>0.29562982005141386</v>
      </c>
      <c r="BE44" s="151">
        <v>0.42247936559313803</v>
      </c>
      <c r="BF44" s="151">
        <v>0.35144694533762055</v>
      </c>
      <c r="BG44" s="151">
        <v>0.57080433727140312</v>
      </c>
      <c r="BH44" s="151">
        <v>0.82712872102596924</v>
      </c>
      <c r="BI44" s="151">
        <v>8.9063397816510251E-2</v>
      </c>
      <c r="BJ44" s="151">
        <v>2.1834897529208964E-2</v>
      </c>
      <c r="BK44" s="151">
        <v>0.13642984301666936</v>
      </c>
      <c r="BL44" s="151">
        <v>0.10042078006149863</v>
      </c>
      <c r="BM44" s="151">
        <v>0.54987100994705951</v>
      </c>
      <c r="BN44" s="165">
        <v>109.20973385244478</v>
      </c>
      <c r="BO44" s="168">
        <v>385.71527642450934</v>
      </c>
      <c r="BP44" s="9"/>
    </row>
    <row r="45" spans="1:68" x14ac:dyDescent="0.2">
      <c r="A45" s="9"/>
      <c r="B45" s="3">
        <v>1980</v>
      </c>
      <c r="C45" s="51" t="s">
        <v>141</v>
      </c>
      <c r="D45" s="26">
        <v>0.88300000000000001</v>
      </c>
      <c r="E45" s="71">
        <f>(T45-W45)/(R45-W45-Z45+AD45)</f>
        <v>0.29632996250426086</v>
      </c>
      <c r="F45" s="71">
        <f>AA45/Q45</f>
        <v>0.41838406484435631</v>
      </c>
      <c r="G45" s="71">
        <f>(U45+V45+W45)/T45</f>
        <v>0.32324575989358162</v>
      </c>
      <c r="H45" s="71">
        <f>(AA45+X45)/Q45</f>
        <v>0.55479865482452362</v>
      </c>
      <c r="I45" s="71">
        <f>(AA45/R45)+((T45+Y45+AB45)/(R45+Y45+AB45+AD45))</f>
        <v>0.85524217552841331</v>
      </c>
      <c r="J45" s="71">
        <f>W45/AA45</f>
        <v>8.2234130255564711E-2</v>
      </c>
      <c r="K45" s="71">
        <f>(AC45+AD45)/AA45</f>
        <v>3.070898598516076E-2</v>
      </c>
      <c r="L45" s="71">
        <f>Z45/Q45</f>
        <v>8.7953781150297491E-2</v>
      </c>
      <c r="M45" s="71">
        <f>(Y45+AB45)/Q45</f>
        <v>0.11485729067862378</v>
      </c>
      <c r="N45" s="57">
        <f>(E45*0.7635+F45*0.7562+G45*0.75+H45*0.7248+I45*0.7021+J45*0.6285+1-K45*0.5884+1-L45*0.5276+M45*0.3663)/6.931</f>
        <v>0.55070417930103055</v>
      </c>
      <c r="O45" s="64">
        <f>N45/0.4984*100</f>
        <v>110.49441799779906</v>
      </c>
      <c r="P45" s="155">
        <f>(O45-100)/100*Q45*0.3389</f>
        <v>412.45406134889214</v>
      </c>
      <c r="Q45" s="54">
        <v>11597</v>
      </c>
      <c r="R45" s="21">
        <f>Q45-Y45-AB45-AC45-AD45</f>
        <v>10116</v>
      </c>
      <c r="S45" s="20" t="s">
        <v>19</v>
      </c>
      <c r="T45" s="19">
        <v>3007</v>
      </c>
      <c r="U45" s="19">
        <v>498</v>
      </c>
      <c r="V45" s="19">
        <v>75</v>
      </c>
      <c r="W45" s="19">
        <v>399</v>
      </c>
      <c r="X45" s="19">
        <v>1582</v>
      </c>
      <c r="Y45" s="54">
        <v>1277</v>
      </c>
      <c r="Z45" s="19">
        <v>1020</v>
      </c>
      <c r="AA45" s="54">
        <f>T45+U45+V45*2+W45*3</f>
        <v>4852</v>
      </c>
      <c r="AB45" s="19">
        <v>55</v>
      </c>
      <c r="AC45" s="19">
        <v>45</v>
      </c>
      <c r="AD45" s="21">
        <v>104</v>
      </c>
      <c r="AE45" s="9"/>
      <c r="AF45" s="6">
        <v>1978</v>
      </c>
      <c r="AG45" s="77">
        <v>3.8858736619930646E-2</v>
      </c>
      <c r="AH45" s="85">
        <v>0.49817656721491627</v>
      </c>
      <c r="AI45" s="86">
        <v>0.50118704487110732</v>
      </c>
      <c r="AJ45" s="76">
        <v>6.4073571536258107E-3</v>
      </c>
      <c r="AK45" s="41">
        <v>4.8500000000000001E-3</v>
      </c>
      <c r="AL45" s="42">
        <v>1.2475501281471431E-2</v>
      </c>
      <c r="AM45" s="78">
        <v>8.0000000000000002E-3</v>
      </c>
      <c r="AN45" s="9"/>
      <c r="AO45" s="146" t="s">
        <v>275</v>
      </c>
      <c r="AP45" s="147">
        <v>0.27727425310506881</v>
      </c>
      <c r="AQ45" s="147">
        <v>0.29436314649479633</v>
      </c>
      <c r="AR45" s="147">
        <v>0.22185351979141976</v>
      </c>
      <c r="AS45" s="147">
        <v>0.37994611442759785</v>
      </c>
      <c r="AT45" s="147">
        <v>0.59997372061689136</v>
      </c>
      <c r="AU45" s="147">
        <v>1.5972720746590095E-2</v>
      </c>
      <c r="AV45" s="147">
        <v>0.12257717157214644</v>
      </c>
      <c r="AW45" s="147">
        <v>0.1324422843256379</v>
      </c>
      <c r="AX45" s="147">
        <v>4.7915896243858627E-2</v>
      </c>
      <c r="AY45" s="147">
        <v>0.52557802427981659</v>
      </c>
      <c r="AZ45" s="162">
        <v>101.1699757997722</v>
      </c>
      <c r="BA45" s="177">
        <v>146.41032582271379</v>
      </c>
      <c r="BB45" s="9"/>
      <c r="BC45" s="150" t="s">
        <v>90</v>
      </c>
      <c r="BD45" s="151">
        <v>0.30540498683599193</v>
      </c>
      <c r="BE45" s="151">
        <v>0.45510978273364755</v>
      </c>
      <c r="BF45" s="151">
        <v>0.35006380263717568</v>
      </c>
      <c r="BG45" s="151">
        <v>0.6120243706173123</v>
      </c>
      <c r="BH45" s="151">
        <v>0.8489216618115607</v>
      </c>
      <c r="BI45" s="151">
        <v>9.5731245263955544E-2</v>
      </c>
      <c r="BJ45" s="151">
        <v>1.9701944935589796E-2</v>
      </c>
      <c r="BK45" s="151">
        <v>0.13438326244395907</v>
      </c>
      <c r="BL45" s="151">
        <v>7.931946200712725E-2</v>
      </c>
      <c r="BM45" s="151">
        <v>0.56070268541736301</v>
      </c>
      <c r="BN45" s="165">
        <v>113.04489625350061</v>
      </c>
      <c r="BO45" s="168">
        <v>384.57542545368494</v>
      </c>
      <c r="BP45" s="9"/>
    </row>
    <row r="46" spans="1:68" x14ac:dyDescent="0.2">
      <c r="A46" s="9"/>
      <c r="B46" s="3">
        <v>2015</v>
      </c>
      <c r="C46" s="106" t="s">
        <v>41</v>
      </c>
      <c r="D46" s="98">
        <v>0.91100000000000003</v>
      </c>
      <c r="E46" s="99">
        <f>(T46-W46)/(R46-W46-Z46+AD46)</f>
        <v>0.28209507543410189</v>
      </c>
      <c r="F46" s="99">
        <f>AA46/Q46</f>
        <v>0.30621379673512372</v>
      </c>
      <c r="G46" s="99">
        <f>(U46+V46+W46)/T46</f>
        <v>0.33138226024313372</v>
      </c>
      <c r="H46" s="99">
        <f>(AA46+S46)/Q46</f>
        <v>0.39450588028787081</v>
      </c>
      <c r="I46" s="99">
        <f>(AA46/R46)+((T46+Y46+AB46)/(R46+Y46+AB46+AD46))</f>
        <v>0.61270119437085691</v>
      </c>
      <c r="J46" s="99">
        <f>W46/AA46</f>
        <v>6.8501003152765833E-2</v>
      </c>
      <c r="K46" s="99">
        <f>(AC46+AD46)/AA46</f>
        <v>3.926626540556033E-2</v>
      </c>
      <c r="L46" s="99">
        <f>Z46/Q46</f>
        <v>0.27681235738107773</v>
      </c>
      <c r="M46" s="99">
        <f>(Y46+AB46)/Q46</f>
        <v>7.907670703879234E-2</v>
      </c>
      <c r="N46" s="100">
        <f>(1-E46*0.7635+1-F46*0.7562+1-G46*0.75+1-H46*0.7248+1-I46*0.7021+1-J46*0.6285+K46*0.5884+L46*0.5276+1-M46*0.3663)/11.068</f>
        <v>0.51369183800878671</v>
      </c>
      <c r="O46" s="101">
        <f>N46/0.4871*100</f>
        <v>105.45921535799359</v>
      </c>
      <c r="P46" s="102">
        <f>(O46-100)/100*Q46*0.6611</f>
        <v>411.21940390493961</v>
      </c>
      <c r="Q46" s="54">
        <v>11394</v>
      </c>
      <c r="R46" s="54">
        <f>Q46-Y46-AB46-AC46-AD46</f>
        <v>10356</v>
      </c>
      <c r="S46" s="19">
        <v>1006</v>
      </c>
      <c r="T46" s="19">
        <v>2221</v>
      </c>
      <c r="U46" s="19">
        <v>443</v>
      </c>
      <c r="V46" s="19">
        <v>54</v>
      </c>
      <c r="W46" s="19">
        <v>239</v>
      </c>
      <c r="X46" s="19" t="s">
        <v>19</v>
      </c>
      <c r="Y46" s="54">
        <v>760</v>
      </c>
      <c r="Z46" s="19">
        <v>3154</v>
      </c>
      <c r="AA46" s="54">
        <f>T46+U46+V46*2+W46*3</f>
        <v>3489</v>
      </c>
      <c r="AB46" s="19">
        <v>141</v>
      </c>
      <c r="AC46" s="19">
        <v>74</v>
      </c>
      <c r="AD46" s="19">
        <v>63</v>
      </c>
      <c r="AE46" s="9"/>
      <c r="AF46" s="6">
        <v>1977</v>
      </c>
      <c r="AG46" s="77">
        <v>3.9870749688945016E-2</v>
      </c>
      <c r="AH46" s="85">
        <v>0.50978620724073975</v>
      </c>
      <c r="AI46" s="86">
        <v>0.49391685919899109</v>
      </c>
      <c r="AJ46" s="76">
        <v>7.2424743263570356E-3</v>
      </c>
      <c r="AK46" s="41">
        <v>4.8999999999999998E-3</v>
      </c>
      <c r="AL46" s="42">
        <v>1.0919422830507531E-2</v>
      </c>
      <c r="AM46" s="78">
        <v>7.62E-3</v>
      </c>
      <c r="AN46" s="9"/>
      <c r="AO46" s="146" t="s">
        <v>60</v>
      </c>
      <c r="AP46" s="147">
        <v>0.27398913699456851</v>
      </c>
      <c r="AQ46" s="147">
        <v>0.29700579523502896</v>
      </c>
      <c r="AR46" s="147">
        <v>0.2478386167146974</v>
      </c>
      <c r="AS46" s="147">
        <v>0.40019317450096586</v>
      </c>
      <c r="AT46" s="147">
        <v>0.62323938007698787</v>
      </c>
      <c r="AU46" s="147">
        <v>1.4092140921409214E-2</v>
      </c>
      <c r="AV46" s="147">
        <v>8.2926829268292687E-2</v>
      </c>
      <c r="AW46" s="147">
        <v>0.11107533805537669</v>
      </c>
      <c r="AX46" s="147">
        <v>6.7611075338055382E-2</v>
      </c>
      <c r="AY46" s="147">
        <v>0.51739002661868327</v>
      </c>
      <c r="AZ46" s="162">
        <v>103.56085400694222</v>
      </c>
      <c r="BA46" s="177">
        <v>146.23548587742792</v>
      </c>
      <c r="BB46" s="9"/>
      <c r="BC46" s="150" t="s">
        <v>143</v>
      </c>
      <c r="BD46" s="151">
        <v>0.31328276591991533</v>
      </c>
      <c r="BE46" s="151">
        <v>0.49107640825432236</v>
      </c>
      <c r="BF46" s="151">
        <v>0.37186897880539499</v>
      </c>
      <c r="BG46" s="151">
        <v>0.65853318460680421</v>
      </c>
      <c r="BH46" s="151">
        <v>0.92597684823309712</v>
      </c>
      <c r="BI46" s="151">
        <v>8.5178875638841564E-2</v>
      </c>
      <c r="BJ46" s="151">
        <v>3.5491198182850653E-2</v>
      </c>
      <c r="BK46" s="151">
        <v>7.2643614054656996E-2</v>
      </c>
      <c r="BL46" s="151">
        <v>8.5471277189068606E-2</v>
      </c>
      <c r="BM46" s="151">
        <v>0.58325083877371664</v>
      </c>
      <c r="BN46" s="165">
        <v>115.74733851433155</v>
      </c>
      <c r="BO46" s="168">
        <v>382.7533611741992</v>
      </c>
      <c r="BP46" s="9"/>
    </row>
    <row r="47" spans="1:68" x14ac:dyDescent="0.2">
      <c r="A47" s="9"/>
      <c r="B47" s="3">
        <v>2020</v>
      </c>
      <c r="C47" s="51" t="s">
        <v>21</v>
      </c>
      <c r="D47" s="26">
        <v>0.76600000000000001</v>
      </c>
      <c r="E47" s="71">
        <f>(T47-W47)/(R47-W47-Z47+AD47)</f>
        <v>0.33165360209033223</v>
      </c>
      <c r="F47" s="71">
        <f>AA47/Q47</f>
        <v>0.48617683686176838</v>
      </c>
      <c r="G47" s="71">
        <f>(U47+V47+W47)/T47</f>
        <v>0.42407407407407405</v>
      </c>
      <c r="H47" s="71">
        <f>(AA47+X47)/Q47</f>
        <v>0.64943960149439606</v>
      </c>
      <c r="I47" s="71">
        <f>(AA47/R47)+((T47+Y47+AB47)/(R47+Y47+AB47+AD47))</f>
        <v>0.96544804109496907</v>
      </c>
      <c r="J47" s="71">
        <f>W47/AA47</f>
        <v>9.8104508196721313E-2</v>
      </c>
      <c r="K47" s="71">
        <f>(AC47+AD47)/AA47</f>
        <v>1.8442622950819672E-2</v>
      </c>
      <c r="L47" s="71">
        <f>Z47/Q47</f>
        <v>0.15330012453300124</v>
      </c>
      <c r="M47" s="71">
        <f>(Y47+AB47)/Q47</f>
        <v>0.13088418430884186</v>
      </c>
      <c r="N47" s="57">
        <f>(E47*0.7635+F47*0.7562+G47*0.75+H47*0.7248+I47*0.7021+J47*0.6285+1-K47*0.5884+1-L47*0.5276+M47*0.3663)/6.931</f>
        <v>0.59231621305272009</v>
      </c>
      <c r="O47" s="64">
        <f>N47/0.5168*100</f>
        <v>114.61227032753871</v>
      </c>
      <c r="P47" s="155">
        <f>(O47-100)/100*Q47*0.3389</f>
        <v>397.65350264443032</v>
      </c>
      <c r="Q47" s="54">
        <v>8030</v>
      </c>
      <c r="R47" s="54">
        <f>Q47-Y47-AB47-AC47-AD47</f>
        <v>6907</v>
      </c>
      <c r="S47" s="20" t="s">
        <v>19</v>
      </c>
      <c r="T47" s="19">
        <v>2160</v>
      </c>
      <c r="U47" s="19">
        <v>471</v>
      </c>
      <c r="V47" s="19">
        <v>62</v>
      </c>
      <c r="W47" s="19">
        <v>383</v>
      </c>
      <c r="X47" s="19">
        <v>1311</v>
      </c>
      <c r="Y47" s="54">
        <v>913</v>
      </c>
      <c r="Z47" s="19">
        <v>1231</v>
      </c>
      <c r="AA47" s="54">
        <f>T47+U47+V47*2+W47*3</f>
        <v>3904</v>
      </c>
      <c r="AB47" s="19">
        <v>138</v>
      </c>
      <c r="AC47" s="19">
        <v>7</v>
      </c>
      <c r="AD47" s="19">
        <v>65</v>
      </c>
      <c r="AE47" s="9"/>
      <c r="AF47" s="6">
        <v>1976</v>
      </c>
      <c r="AG47" s="77">
        <v>3.5500633455959565E-2</v>
      </c>
      <c r="AH47" s="85">
        <v>0.4885272124505618</v>
      </c>
      <c r="AI47" s="86">
        <v>0.50722966123104052</v>
      </c>
      <c r="AJ47" s="76">
        <v>6.5445824271864392E-3</v>
      </c>
      <c r="AK47" s="41">
        <v>4.6299999999999996E-3</v>
      </c>
      <c r="AL47" s="42">
        <v>1.2147449577583111E-2</v>
      </c>
      <c r="AM47" s="78">
        <v>8.0099999999999998E-3</v>
      </c>
      <c r="AN47" s="9"/>
      <c r="AO47" s="146" t="s">
        <v>100</v>
      </c>
      <c r="AP47" s="147">
        <v>0.30279652844744454</v>
      </c>
      <c r="AQ47" s="147">
        <v>0.30259265703845484</v>
      </c>
      <c r="AR47" s="147">
        <v>0.26619828259172523</v>
      </c>
      <c r="AS47" s="147">
        <v>0.40247085435879587</v>
      </c>
      <c r="AT47" s="147">
        <v>0.66449903813910804</v>
      </c>
      <c r="AU47" s="147">
        <v>1.437607820586544E-2</v>
      </c>
      <c r="AV47" s="147">
        <v>0.1046578493387004</v>
      </c>
      <c r="AW47" s="147">
        <v>0.16043152949364886</v>
      </c>
      <c r="AX47" s="147">
        <v>8.96119714633722E-2</v>
      </c>
      <c r="AY47" s="147">
        <v>0.51377430833300508</v>
      </c>
      <c r="AZ47" s="162">
        <v>103.6880541539869</v>
      </c>
      <c r="BA47" s="177">
        <v>140.12177939100641</v>
      </c>
      <c r="BB47" s="9"/>
      <c r="BC47" s="150" t="s">
        <v>30</v>
      </c>
      <c r="BD47" s="151">
        <v>0.31554900515843776</v>
      </c>
      <c r="BE47" s="151">
        <v>0.49740589469036317</v>
      </c>
      <c r="BF47" s="151">
        <v>0.37528957528957529</v>
      </c>
      <c r="BG47" s="151">
        <v>0.66254553482724365</v>
      </c>
      <c r="BH47" s="151">
        <v>0.9311734390038896</v>
      </c>
      <c r="BI47" s="151">
        <v>9.9644917887261431E-2</v>
      </c>
      <c r="BJ47" s="151">
        <v>1.4203284509542832E-2</v>
      </c>
      <c r="BK47" s="151">
        <v>0.10873164808477757</v>
      </c>
      <c r="BL47" s="151">
        <v>9.2725466387018438E-2</v>
      </c>
      <c r="BM47" s="151">
        <v>0.58626247276477883</v>
      </c>
      <c r="BN47" s="165">
        <v>112.44005998557323</v>
      </c>
      <c r="BO47" s="168">
        <v>381.92167205414432</v>
      </c>
      <c r="BP47" s="9"/>
    </row>
    <row r="48" spans="1:68" x14ac:dyDescent="0.2">
      <c r="A48" s="9"/>
      <c r="B48" s="3">
        <v>1968</v>
      </c>
      <c r="C48" s="51" t="s">
        <v>191</v>
      </c>
      <c r="D48" s="26">
        <v>0.84799999999999998</v>
      </c>
      <c r="E48" s="71">
        <f>(T48-W48)/(R48-W48-Z48+AD48)</f>
        <v>0.32936046511627909</v>
      </c>
      <c r="F48" s="71">
        <f>AA48/Q48</f>
        <v>0.47304433255556921</v>
      </c>
      <c r="G48" s="71">
        <f>(U48+V48+W48)/T48</f>
        <v>0.34722784297855119</v>
      </c>
      <c r="H48" s="72">
        <f>(AA48+X48)/Q48</f>
        <v>0.64288345818494408</v>
      </c>
      <c r="I48" s="71">
        <f>(AA48/R48)+((T48+Y48+AB48)/(R48+Y48+AB48+AD48))</f>
        <v>0.87098326983296448</v>
      </c>
      <c r="J48" s="71">
        <f>W48/AA48</f>
        <v>5.3219106957424711E-2</v>
      </c>
      <c r="K48" s="71">
        <f>(AC48+AD48)/AA48</f>
        <v>2.8037383177570093E-2</v>
      </c>
      <c r="L48" s="71">
        <f>Z48/Q48</f>
        <v>6.7665479552990293E-2</v>
      </c>
      <c r="M48" s="71">
        <f>(Y48+AB48)/Q48</f>
        <v>5.6858651602603463E-2</v>
      </c>
      <c r="N48" s="58">
        <f>(E48*0.7635+F48*0.7562+G48*0.75+H48*0.7248+I48*0.7021+J48*0.6285+1-K48*0.5884+1-L48*0.5276+M48*0.3663)/6.931</f>
        <v>0.56978228760666871</v>
      </c>
      <c r="O48" s="65">
        <f>N48/0.4995*100</f>
        <v>114.07052804938314</v>
      </c>
      <c r="P48" s="155">
        <f>(O48-100)/100*Q48*0.3389</f>
        <v>388.2991142718642</v>
      </c>
      <c r="Q48" s="54">
        <v>8143</v>
      </c>
      <c r="R48" s="21">
        <f>Q48-Y48-AB48-AC48-AD48</f>
        <v>7572</v>
      </c>
      <c r="S48" s="20" t="s">
        <v>19</v>
      </c>
      <c r="T48" s="19">
        <v>2471</v>
      </c>
      <c r="U48" s="19">
        <v>540</v>
      </c>
      <c r="V48" s="19">
        <v>113</v>
      </c>
      <c r="W48" s="19">
        <v>205</v>
      </c>
      <c r="X48" s="19">
        <v>1383</v>
      </c>
      <c r="Y48" s="54">
        <v>437</v>
      </c>
      <c r="Z48" s="19">
        <v>551</v>
      </c>
      <c r="AA48" s="54">
        <f>T48+U48+V48*2+W48*3</f>
        <v>3852</v>
      </c>
      <c r="AB48" s="19">
        <v>26</v>
      </c>
      <c r="AC48" s="19">
        <v>44</v>
      </c>
      <c r="AD48" s="21">
        <v>64</v>
      </c>
      <c r="AE48" s="9"/>
      <c r="AF48" s="6">
        <v>1975</v>
      </c>
      <c r="AG48" s="77">
        <v>3.6622864563358296E-2</v>
      </c>
      <c r="AH48" s="85">
        <v>0.49588521480555503</v>
      </c>
      <c r="AI48" s="86">
        <v>0.50262193496410357</v>
      </c>
      <c r="AJ48" s="76">
        <v>5.9681206811866266E-3</v>
      </c>
      <c r="AK48" s="41">
        <v>5.1200000000000004E-3</v>
      </c>
      <c r="AL48" s="42">
        <v>1.260235629747751E-2</v>
      </c>
      <c r="AM48" s="78">
        <v>7.3099999999999997E-3</v>
      </c>
      <c r="AN48" s="9"/>
      <c r="AO48" s="146" t="s">
        <v>28</v>
      </c>
      <c r="AP48" s="147">
        <v>0.29922613929492692</v>
      </c>
      <c r="AQ48" s="147">
        <v>0.3032665181885672</v>
      </c>
      <c r="AR48" s="147">
        <v>0.26037069726390116</v>
      </c>
      <c r="AS48" s="147">
        <v>0.39142538975501112</v>
      </c>
      <c r="AT48" s="147">
        <v>0.64697163989992978</v>
      </c>
      <c r="AU48" s="147">
        <v>5.4467564259485922E-2</v>
      </c>
      <c r="AV48" s="147">
        <v>6.1811505507955937E-2</v>
      </c>
      <c r="AW48" s="147">
        <v>0.23218262806236081</v>
      </c>
      <c r="AX48" s="147">
        <v>9.2056421677802522E-2</v>
      </c>
      <c r="AY48" s="147">
        <v>0.51498961698472612</v>
      </c>
      <c r="AZ48" s="162">
        <v>103.93332330670557</v>
      </c>
      <c r="BA48" s="177">
        <v>140.10524365083742</v>
      </c>
      <c r="BB48" s="9"/>
      <c r="BC48" s="150" t="s">
        <v>29</v>
      </c>
      <c r="BD48" s="151">
        <v>0.31343697945585786</v>
      </c>
      <c r="BE48" s="151">
        <v>0.44799321650650087</v>
      </c>
      <c r="BF48" s="151">
        <v>0.38701393983859134</v>
      </c>
      <c r="BG48" s="151">
        <v>0.60090446579988699</v>
      </c>
      <c r="BH48" s="151">
        <v>0.93036747052509305</v>
      </c>
      <c r="BI48" s="151">
        <v>9.8422712933753945E-2</v>
      </c>
      <c r="BJ48" s="151">
        <v>2.1030494216614092E-2</v>
      </c>
      <c r="BK48" s="151">
        <v>0.13274919917090636</v>
      </c>
      <c r="BL48" s="151">
        <v>0.14414923685698133</v>
      </c>
      <c r="BM48" s="151">
        <v>0.57557875301443995</v>
      </c>
      <c r="BN48" s="165">
        <v>110.60314239324364</v>
      </c>
      <c r="BO48" s="168">
        <v>381.4040021434385</v>
      </c>
      <c r="BP48" s="9"/>
    </row>
    <row r="49" spans="1:68" x14ac:dyDescent="0.2">
      <c r="A49" s="9"/>
      <c r="B49" s="3">
        <v>2001</v>
      </c>
      <c r="C49" s="51" t="s">
        <v>79</v>
      </c>
      <c r="D49" s="26">
        <v>0.84499999999999997</v>
      </c>
      <c r="E49" s="71">
        <f>(T49-W49)/(R49-W49-Z49+AD49)</f>
        <v>0.29562982005141386</v>
      </c>
      <c r="F49" s="71">
        <f>AA49/Q49</f>
        <v>0.42247936559313803</v>
      </c>
      <c r="G49" s="71">
        <f>(U49+V49+W49)/T49</f>
        <v>0.35144694533762055</v>
      </c>
      <c r="H49" s="71">
        <f>(AA49+X49)/Q49</f>
        <v>0.57080433727140312</v>
      </c>
      <c r="I49" s="71">
        <f>(AA49/R49)+((T49+Y49+AB49)/(R49+Y49+AB49+AD49))</f>
        <v>0.82712872102596924</v>
      </c>
      <c r="J49" s="71">
        <f>W49/AA49</f>
        <v>8.9063397816510251E-2</v>
      </c>
      <c r="K49" s="71">
        <f>(AC49+AD49)/AA49</f>
        <v>2.1834897529208964E-2</v>
      </c>
      <c r="L49" s="71">
        <f>Z49/Q49</f>
        <v>0.13642984301666936</v>
      </c>
      <c r="M49" s="71">
        <f>(Y49+AB49)/Q49</f>
        <v>0.10042078006149863</v>
      </c>
      <c r="N49" s="57">
        <f>(E49*0.7635+F49*0.7562+G49*0.75+H49*0.7248+I49*0.7021+J49*0.6285+1-K49*0.5884+1-L49*0.5276+M49*0.3663)/6.931</f>
        <v>0.54987100994705951</v>
      </c>
      <c r="O49" s="64">
        <f>N49/0.5035*100</f>
        <v>109.20973385244478</v>
      </c>
      <c r="P49" s="155">
        <f>(O49-100)/100*Q49*0.3389</f>
        <v>385.71527642450934</v>
      </c>
      <c r="Q49" s="54">
        <v>12358</v>
      </c>
      <c r="R49" s="54">
        <f>Q49-Y49-AB49-AC49-AD49</f>
        <v>11003</v>
      </c>
      <c r="S49" s="20" t="s">
        <v>19</v>
      </c>
      <c r="T49" s="19">
        <v>3110</v>
      </c>
      <c r="U49" s="19">
        <v>540</v>
      </c>
      <c r="V49" s="19">
        <v>88</v>
      </c>
      <c r="W49" s="19">
        <v>465</v>
      </c>
      <c r="X49" s="19">
        <v>1833</v>
      </c>
      <c r="Y49" s="54">
        <v>1216</v>
      </c>
      <c r="Z49" s="19">
        <v>1686</v>
      </c>
      <c r="AA49" s="54">
        <f>T49+U49+V49*2+W49*3</f>
        <v>5221</v>
      </c>
      <c r="AB49" s="19">
        <v>25</v>
      </c>
      <c r="AC49" s="19">
        <v>19</v>
      </c>
      <c r="AD49" s="19">
        <v>95</v>
      </c>
      <c r="AE49" s="9"/>
      <c r="AF49" s="6">
        <v>1974</v>
      </c>
      <c r="AG49" s="77">
        <v>3.4973397108615037E-2</v>
      </c>
      <c r="AH49" s="85">
        <v>0.49294811561303925</v>
      </c>
      <c r="AI49" s="86">
        <v>0.50446120443494968</v>
      </c>
      <c r="AJ49" s="76">
        <v>5.690062879561455E-3</v>
      </c>
      <c r="AK49" s="41">
        <v>5.1999999999999998E-3</v>
      </c>
      <c r="AL49" s="42">
        <v>1.1648841833718494E-2</v>
      </c>
      <c r="AM49" s="78">
        <v>7.4200000000000004E-3</v>
      </c>
      <c r="AN49" s="9"/>
      <c r="AO49" s="146" t="s">
        <v>108</v>
      </c>
      <c r="AP49" s="147">
        <v>0.27543323139653414</v>
      </c>
      <c r="AQ49" s="147">
        <v>0.30662824207492795</v>
      </c>
      <c r="AR49" s="147">
        <v>0.25440976933514248</v>
      </c>
      <c r="AS49" s="147">
        <v>0.39524495677233429</v>
      </c>
      <c r="AT49" s="147">
        <v>0.63224109644016901</v>
      </c>
      <c r="AU49" s="147">
        <v>5.7800751879699248E-2</v>
      </c>
      <c r="AV49" s="147">
        <v>6.9548872180451124E-2</v>
      </c>
      <c r="AW49" s="147">
        <v>0.18717579250720462</v>
      </c>
      <c r="AX49" s="147">
        <v>7.6512968299711812E-2</v>
      </c>
      <c r="AY49" s="147">
        <v>0.51608051476005623</v>
      </c>
      <c r="AZ49" s="162">
        <v>102.84585786370191</v>
      </c>
      <c r="BA49" s="177">
        <v>130.56892637831723</v>
      </c>
      <c r="BB49" s="9"/>
      <c r="BC49" s="150" t="s">
        <v>35</v>
      </c>
      <c r="BD49" s="151">
        <v>0.31653088934147999</v>
      </c>
      <c r="BE49" s="151">
        <v>0.44671826953663452</v>
      </c>
      <c r="BF49" s="151">
        <v>0.41875540190146932</v>
      </c>
      <c r="BG49" s="151">
        <v>0.60884317675750188</v>
      </c>
      <c r="BH49" s="151">
        <v>0.94795163974438568</v>
      </c>
      <c r="BI49" s="151">
        <v>0.10657488725373843</v>
      </c>
      <c r="BJ49" s="151">
        <v>2.4922857821030146E-2</v>
      </c>
      <c r="BK49" s="151">
        <v>0.16519987276004666</v>
      </c>
      <c r="BL49" s="151">
        <v>0.16212490722086736</v>
      </c>
      <c r="BM49" s="151">
        <v>0.58071522570829315</v>
      </c>
      <c r="BN49" s="165">
        <v>111.86962544948817</v>
      </c>
      <c r="BO49" s="168">
        <v>379.37292107426254</v>
      </c>
      <c r="BP49" s="9"/>
    </row>
    <row r="50" spans="1:68" x14ac:dyDescent="0.2">
      <c r="A50" s="9"/>
      <c r="B50" s="3">
        <v>1999</v>
      </c>
      <c r="C50" s="51" t="s">
        <v>90</v>
      </c>
      <c r="D50" s="26" t="s">
        <v>19</v>
      </c>
      <c r="E50" s="71">
        <f>(T50-W50)/(R50-W50-Z50+AD50)</f>
        <v>0.30540498683599193</v>
      </c>
      <c r="F50" s="71">
        <f>AA50/Q50</f>
        <v>0.45510978273364755</v>
      </c>
      <c r="G50" s="71">
        <f>(U50+V50+W50)/T50</f>
        <v>0.35006380263717568</v>
      </c>
      <c r="H50" s="71">
        <f>(AA50+X50)/Q50</f>
        <v>0.6120243706173123</v>
      </c>
      <c r="I50" s="71">
        <f>(AA50/R50)+((T50+Y50+AB50)/(R50+Y50+AB50+AD50))</f>
        <v>0.8489216618115607</v>
      </c>
      <c r="J50" s="71">
        <f>W50/AA50</f>
        <v>9.5731245263955544E-2</v>
      </c>
      <c r="K50" s="71">
        <f>(AC50+AD50)/AA50</f>
        <v>1.9701944935589796E-2</v>
      </c>
      <c r="L50" s="71">
        <f>Z50/Q50</f>
        <v>0.13438326244395907</v>
      </c>
      <c r="M50" s="71">
        <f>(Y50+AB50)/Q50</f>
        <v>7.931946200712725E-2</v>
      </c>
      <c r="N50" s="57">
        <f>(E50*0.7635+F50*0.7562+G50*0.75+H50*0.7248+I50*0.7021+J50*0.6285+1-K50*0.5884+1-L50*0.5276+M50*0.3663)/6.931</f>
        <v>0.56070268541736301</v>
      </c>
      <c r="O50" s="64">
        <f>N50/0.496*100</f>
        <v>113.04489625350061</v>
      </c>
      <c r="P50" s="155">
        <f>(O50-100)/100*Q50*0.3389</f>
        <v>384.57542545368494</v>
      </c>
      <c r="Q50" s="54">
        <v>8699</v>
      </c>
      <c r="R50" s="54">
        <f>Q50-Y50-AB50-AC50-AD50</f>
        <v>7931</v>
      </c>
      <c r="S50" s="20" t="s">
        <v>19</v>
      </c>
      <c r="T50" s="19">
        <v>2351</v>
      </c>
      <c r="U50" s="19">
        <v>417</v>
      </c>
      <c r="V50" s="19">
        <v>27</v>
      </c>
      <c r="W50" s="19">
        <v>379</v>
      </c>
      <c r="X50" s="19">
        <v>1365</v>
      </c>
      <c r="Y50" s="54">
        <v>588</v>
      </c>
      <c r="Z50" s="19">
        <v>1169</v>
      </c>
      <c r="AA50" s="54">
        <f>T50+U50+V50*2+W50*3</f>
        <v>3959</v>
      </c>
      <c r="AB50" s="19">
        <v>102</v>
      </c>
      <c r="AC50" s="19">
        <v>4</v>
      </c>
      <c r="AD50" s="19">
        <v>74</v>
      </c>
      <c r="AE50" s="9"/>
      <c r="AF50" s="6">
        <v>1973</v>
      </c>
      <c r="AG50" s="77">
        <v>3.510870660976511E-2</v>
      </c>
      <c r="AH50" s="85">
        <v>0.49830997402873745</v>
      </c>
      <c r="AI50" s="86">
        <v>0.50110350289183414</v>
      </c>
      <c r="AJ50" s="76">
        <v>5.3093181894552912E-3</v>
      </c>
      <c r="AK50" s="41">
        <v>5.0699999999999999E-3</v>
      </c>
      <c r="AL50" s="42">
        <v>1.0417016700830001E-2</v>
      </c>
      <c r="AM50" s="78">
        <v>6.7799999999999996E-3</v>
      </c>
      <c r="AN50" s="9"/>
      <c r="AO50" s="146" t="s">
        <v>26</v>
      </c>
      <c r="AP50" s="147">
        <v>0.29458400993409112</v>
      </c>
      <c r="AQ50" s="147">
        <v>0.37093126841636404</v>
      </c>
      <c r="AR50" s="147">
        <v>0.33179190751445087</v>
      </c>
      <c r="AS50" s="147">
        <v>0.47776331117659154</v>
      </c>
      <c r="AT50" s="147">
        <v>0.69555346401620277</v>
      </c>
      <c r="AU50" s="147">
        <v>6.9462405320524667E-2</v>
      </c>
      <c r="AV50" s="147">
        <v>3.1775355625346391E-2</v>
      </c>
      <c r="AW50" s="147">
        <v>0.19276365380661961</v>
      </c>
      <c r="AX50" s="147">
        <v>5.7904474748166929E-2</v>
      </c>
      <c r="AY50" s="147">
        <v>0.49391427626767104</v>
      </c>
      <c r="AZ50" s="162">
        <v>101.27420058799899</v>
      </c>
      <c r="BA50" s="177">
        <v>122.92763909340454</v>
      </c>
      <c r="BB50" s="9"/>
      <c r="BC50" s="150" t="s">
        <v>76</v>
      </c>
      <c r="BD50" s="151">
        <v>0.29129606099110544</v>
      </c>
      <c r="BE50" s="151">
        <v>0.4210813762971054</v>
      </c>
      <c r="BF50" s="151">
        <v>0.33763440860215055</v>
      </c>
      <c r="BG50" s="151">
        <v>0.57064835764999611</v>
      </c>
      <c r="BH50" s="151">
        <v>0.83551641196540194</v>
      </c>
      <c r="BI50" s="151">
        <v>9.3385214007782102E-2</v>
      </c>
      <c r="BJ50" s="151">
        <v>2.4087455994070781E-2</v>
      </c>
      <c r="BK50" s="151">
        <v>0.11828040883201997</v>
      </c>
      <c r="BL50" s="151">
        <v>0.10540688148552703</v>
      </c>
      <c r="BM50" s="151">
        <v>0.55042554221976248</v>
      </c>
      <c r="BN50" s="165">
        <v>108.56519570409515</v>
      </c>
      <c r="BO50" s="168">
        <v>372.04480410718423</v>
      </c>
      <c r="BP50" s="9"/>
    </row>
    <row r="51" spans="1:68" x14ac:dyDescent="0.2">
      <c r="A51" s="9"/>
      <c r="B51" s="3">
        <v>1980</v>
      </c>
      <c r="C51" s="51" t="s">
        <v>143</v>
      </c>
      <c r="D51" s="26" t="s">
        <v>19</v>
      </c>
      <c r="E51" s="71">
        <f>(T51-W51)/(R51-W51-Z51+AD51)</f>
        <v>0.31328276591991533</v>
      </c>
      <c r="F51" s="71">
        <f>AA51/Q51</f>
        <v>0.49107640825432236</v>
      </c>
      <c r="G51" s="71">
        <f>(U51+V51+W51)/T51</f>
        <v>0.37186897880539499</v>
      </c>
      <c r="H51" s="71">
        <f>(AA51+X51)/Q51</f>
        <v>0.65853318460680421</v>
      </c>
      <c r="I51" s="71">
        <f>(AA51/R51)+((T51+Y51+AB51)/(R51+Y51+AB51+AD51))</f>
        <v>0.92597684823309712</v>
      </c>
      <c r="J51" s="71">
        <f>W51/AA51</f>
        <v>8.5178875638841564E-2</v>
      </c>
      <c r="K51" s="71">
        <f>(AC51+AD51)/AA51</f>
        <v>3.5491198182850653E-2</v>
      </c>
      <c r="L51" s="71">
        <f>Z51/Q51</f>
        <v>7.2643614054656996E-2</v>
      </c>
      <c r="M51" s="71">
        <f>(Y51+AB51)/Q51</f>
        <v>8.5471277189068606E-2</v>
      </c>
      <c r="N51" s="57">
        <f>(E51*0.7635+F51*0.7562+G51*0.75+H51*0.7248+I51*0.7021+J51*0.6285+1-K51*0.5884+1-L51*0.5276+M51*0.3663)/6.931</f>
        <v>0.58325083877371664</v>
      </c>
      <c r="O51" s="64">
        <f>N51/0.5039*100</f>
        <v>115.74733851433155</v>
      </c>
      <c r="P51" s="155">
        <f>(O51-100)/100*Q51*0.3389</f>
        <v>382.7533611741992</v>
      </c>
      <c r="Q51" s="54">
        <v>7172</v>
      </c>
      <c r="R51" s="21">
        <f>Q51-Y51-AB51-AC51-AD51</f>
        <v>6434</v>
      </c>
      <c r="S51" s="20" t="s">
        <v>19</v>
      </c>
      <c r="T51" s="19">
        <v>2076</v>
      </c>
      <c r="U51" s="19">
        <v>398</v>
      </c>
      <c r="V51" s="19">
        <v>74</v>
      </c>
      <c r="W51" s="19">
        <v>300</v>
      </c>
      <c r="X51" s="19">
        <v>1201</v>
      </c>
      <c r="Y51" s="54">
        <v>601</v>
      </c>
      <c r="Z51" s="19">
        <v>521</v>
      </c>
      <c r="AA51" s="54">
        <f>T51+U51+V51*2+W51*3</f>
        <v>3522</v>
      </c>
      <c r="AB51" s="19">
        <v>12</v>
      </c>
      <c r="AC51" s="19">
        <v>69</v>
      </c>
      <c r="AD51" s="21">
        <v>56</v>
      </c>
      <c r="AE51" s="9"/>
      <c r="AF51" s="6">
        <v>1972</v>
      </c>
      <c r="AG51" s="77">
        <v>3.3234506161814607E-2</v>
      </c>
      <c r="AH51" s="85">
        <v>0.48460466076172293</v>
      </c>
      <c r="AI51" s="86">
        <v>0.50968604050058719</v>
      </c>
      <c r="AJ51" s="76">
        <v>5.3295231291302014E-3</v>
      </c>
      <c r="AK51" s="41">
        <v>5.3699999999999998E-3</v>
      </c>
      <c r="AL51" s="42">
        <v>1.2559385604572246E-2</v>
      </c>
      <c r="AM51" s="78">
        <v>6.3099999999999996E-3</v>
      </c>
      <c r="AN51" s="9"/>
      <c r="AO51" s="146" t="s">
        <v>190</v>
      </c>
      <c r="AP51" s="147">
        <v>0.29020926756352766</v>
      </c>
      <c r="AQ51" s="147">
        <v>0.34208724873980956</v>
      </c>
      <c r="AR51" s="147">
        <v>0.24151597721080009</v>
      </c>
      <c r="AS51" s="147">
        <v>0.45285954321986432</v>
      </c>
      <c r="AT51" s="147">
        <v>0.69834646379950849</v>
      </c>
      <c r="AU51" s="147">
        <v>2.801528106239767E-2</v>
      </c>
      <c r="AV51" s="147">
        <v>7.2948881207931596E-2</v>
      </c>
      <c r="AW51" s="147">
        <v>7.5051341091542725E-2</v>
      </c>
      <c r="AX51" s="147">
        <v>6.546767067023461E-2</v>
      </c>
      <c r="AY51" s="147">
        <v>0.50243874340433059</v>
      </c>
      <c r="AZ51" s="162">
        <v>100.99271224207651</v>
      </c>
      <c r="BA51" s="177">
        <v>105.45796474151803</v>
      </c>
      <c r="BB51" s="9"/>
      <c r="BC51" s="150" t="s">
        <v>212</v>
      </c>
      <c r="BD51" s="151">
        <v>0.32711280161654582</v>
      </c>
      <c r="BE51" s="151">
        <v>0.40971320075946838</v>
      </c>
      <c r="BF51" s="151">
        <v>0.27045769764216365</v>
      </c>
      <c r="BG51" s="151">
        <v>0.53442590186869188</v>
      </c>
      <c r="BH51" s="151">
        <v>0.82046261578837432</v>
      </c>
      <c r="BI51" s="151">
        <v>3.2195121951219513E-2</v>
      </c>
      <c r="BJ51" s="151">
        <v>5.9024390243902436E-2</v>
      </c>
      <c r="BK51" s="151">
        <v>5.7159988008394128E-2</v>
      </c>
      <c r="BL51" s="151">
        <v>7.2649145598081347E-2</v>
      </c>
      <c r="BM51" s="151">
        <v>0.53495544238721515</v>
      </c>
      <c r="BN51" s="165">
        <v>110.91757047215739</v>
      </c>
      <c r="BO51" s="168">
        <v>370.25546082572504</v>
      </c>
      <c r="BP51" s="9"/>
    </row>
    <row r="52" spans="1:68" x14ac:dyDescent="0.2">
      <c r="A52" s="9"/>
      <c r="B52" s="3">
        <v>2018</v>
      </c>
      <c r="C52" s="51" t="s">
        <v>30</v>
      </c>
      <c r="D52" s="26">
        <v>0.92900000000000005</v>
      </c>
      <c r="E52" s="71">
        <f>(T52-W52)/(R52-W52-Z52+AD52)</f>
        <v>0.31554900515843776</v>
      </c>
      <c r="F52" s="71">
        <f>AA52/Q52</f>
        <v>0.49740589469036317</v>
      </c>
      <c r="G52" s="71">
        <f>(U52+V52+W52)/T52</f>
        <v>0.37528957528957529</v>
      </c>
      <c r="H52" s="71">
        <f>(AA52+X52)/Q52</f>
        <v>0.66254553482724365</v>
      </c>
      <c r="I52" s="71">
        <f>(AA52/R52)+((T52+Y52+AB52)/(R52+Y52+AB52+AD52))</f>
        <v>0.9311734390038896</v>
      </c>
      <c r="J52" s="71">
        <f>W52/AA52</f>
        <v>9.9644917887261431E-2</v>
      </c>
      <c r="K52" s="71">
        <f>(AC52+AD52)/AA52</f>
        <v>1.4203284509542832E-2</v>
      </c>
      <c r="L52" s="71">
        <f>Z52/Q52</f>
        <v>0.10873164808477757</v>
      </c>
      <c r="M52" s="71">
        <f>(Y52+AB52)/Q52</f>
        <v>9.2725466387018438E-2</v>
      </c>
      <c r="N52" s="57">
        <f>(E52*0.7635+F52*0.7562+G52*0.75+H52*0.7248+I52*0.7021+J52*0.6285+1-K52*0.5884+1-L52*0.5276+M52*0.3663)/6.931</f>
        <v>0.58626247276477883</v>
      </c>
      <c r="O52" s="64">
        <f>N52/0.5214*100</f>
        <v>112.44005998557323</v>
      </c>
      <c r="P52" s="155">
        <f>(O52-100)/100*Q52*0.3389</f>
        <v>381.92167205414432</v>
      </c>
      <c r="Q52" s="54">
        <v>9059</v>
      </c>
      <c r="R52" s="54">
        <f>Q52-Y52-AB52-AC52-AD52</f>
        <v>8155</v>
      </c>
      <c r="S52" s="20" t="s">
        <v>19</v>
      </c>
      <c r="T52" s="19">
        <v>2590</v>
      </c>
      <c r="U52" s="19">
        <v>477</v>
      </c>
      <c r="V52" s="19">
        <v>46</v>
      </c>
      <c r="W52" s="19">
        <v>449</v>
      </c>
      <c r="X52" s="19">
        <v>1496</v>
      </c>
      <c r="Y52" s="54">
        <v>737</v>
      </c>
      <c r="Z52" s="19">
        <v>985</v>
      </c>
      <c r="AA52" s="54">
        <f>T52+U52+V52*2+W52*3</f>
        <v>4506</v>
      </c>
      <c r="AB52" s="19">
        <v>103</v>
      </c>
      <c r="AC52" s="19">
        <v>0</v>
      </c>
      <c r="AD52" s="19">
        <v>64</v>
      </c>
      <c r="AE52" s="9"/>
      <c r="AF52" s="6">
        <v>1971</v>
      </c>
      <c r="AG52" s="77">
        <v>3.3609378727464813E-2</v>
      </c>
      <c r="AH52" s="85">
        <v>0.49050773526907787</v>
      </c>
      <c r="AI52" s="86">
        <v>0.50598941876129588</v>
      </c>
      <c r="AJ52" s="76">
        <v>5.507276011314453E-3</v>
      </c>
      <c r="AK52" s="41">
        <v>5.5999999999999999E-3</v>
      </c>
      <c r="AL52" s="42">
        <v>1.2282316054936441E-2</v>
      </c>
      <c r="AM52" s="78">
        <v>6.7299999999999999E-3</v>
      </c>
      <c r="AN52" s="9"/>
      <c r="AO52" s="146" t="s">
        <v>62</v>
      </c>
      <c r="AP52" s="147">
        <v>0.28489128414792791</v>
      </c>
      <c r="AQ52" s="147">
        <v>0.32698034544371651</v>
      </c>
      <c r="AR52" s="147">
        <v>0.26624605678233437</v>
      </c>
      <c r="AS52" s="147">
        <v>0.44773674806432401</v>
      </c>
      <c r="AT52" s="147">
        <v>0.66285452602656081</v>
      </c>
      <c r="AU52" s="147">
        <v>2.3679417122040074E-2</v>
      </c>
      <c r="AV52" s="147">
        <v>9.881602914389799E-2</v>
      </c>
      <c r="AW52" s="147">
        <v>0.10705777248362121</v>
      </c>
      <c r="AX52" s="147">
        <v>5.9410363311494935E-2</v>
      </c>
      <c r="AY52" s="147">
        <v>0.50809641937024963</v>
      </c>
      <c r="AZ52" s="162">
        <v>102.33563330720033</v>
      </c>
      <c r="BA52" s="177">
        <v>103.70089496784148</v>
      </c>
      <c r="BB52" s="9"/>
      <c r="BC52" s="150" t="s">
        <v>165</v>
      </c>
      <c r="BD52" s="151">
        <v>0.33652629676486534</v>
      </c>
      <c r="BE52" s="151">
        <v>0.46444989273674531</v>
      </c>
      <c r="BF52" s="151">
        <v>0.31690140845070425</v>
      </c>
      <c r="BG52" s="151">
        <v>0.66487894575543982</v>
      </c>
      <c r="BH52" s="151">
        <v>0.91018845335396859</v>
      </c>
      <c r="BI52" s="151">
        <v>4.1570438799076209E-2</v>
      </c>
      <c r="BJ52" s="151">
        <v>5.3777631144836691E-2</v>
      </c>
      <c r="BK52" s="151">
        <v>3.5856573705179286E-2</v>
      </c>
      <c r="BL52" s="151">
        <v>7.9987741342323018E-2</v>
      </c>
      <c r="BM52" s="151">
        <v>0.57302615925195943</v>
      </c>
      <c r="BN52" s="165">
        <v>116.63467519885191</v>
      </c>
      <c r="BO52" s="168">
        <v>367.90269038838085</v>
      </c>
      <c r="BP52" s="9"/>
    </row>
    <row r="53" spans="1:68" x14ac:dyDescent="0.2">
      <c r="A53" s="9"/>
      <c r="B53" s="3">
        <v>2018</v>
      </c>
      <c r="C53" s="51" t="s">
        <v>29</v>
      </c>
      <c r="D53" s="26">
        <v>0.97199999999999998</v>
      </c>
      <c r="E53" s="71">
        <f>(T53-W53)/(R53-W53-Z53+AD53)</f>
        <v>0.31343697945585786</v>
      </c>
      <c r="F53" s="71">
        <f>AA53/Q53</f>
        <v>0.44799321650650087</v>
      </c>
      <c r="G53" s="71">
        <f>(U53+V53+W53)/T53</f>
        <v>0.38701393983859134</v>
      </c>
      <c r="H53" s="71">
        <f>(AA53+X53)/Q53</f>
        <v>0.60090446579988699</v>
      </c>
      <c r="I53" s="71">
        <f>(AA53/R53)+((T53+Y53+AB53)/(R53+Y53+AB53+AD53))</f>
        <v>0.93036747052509305</v>
      </c>
      <c r="J53" s="71">
        <f>W53/AA53</f>
        <v>9.8422712933753945E-2</v>
      </c>
      <c r="K53" s="71">
        <f>(AC53+AD53)/AA53</f>
        <v>2.1030494216614092E-2</v>
      </c>
      <c r="L53" s="71">
        <f>Z53/Q53</f>
        <v>0.13274919917090636</v>
      </c>
      <c r="M53" s="71">
        <f>(Y53+AB53)/Q53</f>
        <v>0.14414923685698133</v>
      </c>
      <c r="N53" s="57">
        <f>(E53*0.7635+F53*0.7562+G53*0.75+H53*0.7248+I53*0.7021+J53*0.6285+1-K53*0.5884+1-L53*0.5276+M53*0.3663)/6.931</f>
        <v>0.57557875301443995</v>
      </c>
      <c r="O53" s="64">
        <f>N53/0.5204*100</f>
        <v>110.60314239324364</v>
      </c>
      <c r="P53" s="155">
        <f>(O53-100)/100*Q53*0.3389</f>
        <v>381.4040021434385</v>
      </c>
      <c r="Q53" s="54">
        <v>10614</v>
      </c>
      <c r="R53" s="54">
        <f>Q53-Y53-AB53-AC53-AD53</f>
        <v>8984</v>
      </c>
      <c r="S53" s="20" t="s">
        <v>19</v>
      </c>
      <c r="T53" s="19">
        <v>2726</v>
      </c>
      <c r="U53" s="19">
        <v>549</v>
      </c>
      <c r="V53" s="19">
        <v>38</v>
      </c>
      <c r="W53" s="19">
        <v>468</v>
      </c>
      <c r="X53" s="19">
        <v>1623</v>
      </c>
      <c r="Y53" s="54">
        <v>1512</v>
      </c>
      <c r="Z53" s="19">
        <v>1409</v>
      </c>
      <c r="AA53" s="54">
        <f>T53+U53+V53*2+W53*3</f>
        <v>4755</v>
      </c>
      <c r="AB53" s="19">
        <v>18</v>
      </c>
      <c r="AC53" s="19">
        <v>3</v>
      </c>
      <c r="AD53" s="19">
        <v>97</v>
      </c>
      <c r="AE53" s="9"/>
      <c r="AF53" s="6">
        <v>1970</v>
      </c>
      <c r="AG53" s="77">
        <v>3.5053534481026896E-2</v>
      </c>
      <c r="AH53" s="85">
        <v>0.50184155824333831</v>
      </c>
      <c r="AI53" s="86">
        <v>0.49889195516944551</v>
      </c>
      <c r="AJ53" s="76">
        <v>6.2071874811675141E-3</v>
      </c>
      <c r="AK53" s="41">
        <v>5.5199999999999997E-3</v>
      </c>
      <c r="AL53" s="42">
        <v>1.0914472054264344E-2</v>
      </c>
      <c r="AM53" s="78">
        <v>6.6299999999999996E-3</v>
      </c>
      <c r="AN53" s="9"/>
      <c r="AO53" s="146" t="s">
        <v>172</v>
      </c>
      <c r="AP53" s="147">
        <v>0.26977410769125776</v>
      </c>
      <c r="AQ53" s="147">
        <v>0.32069054367431077</v>
      </c>
      <c r="AR53" s="147">
        <v>0.26124446515963645</v>
      </c>
      <c r="AS53" s="147">
        <v>0.42566348879154858</v>
      </c>
      <c r="AT53" s="147">
        <v>0.68224175472744775</v>
      </c>
      <c r="AU53" s="147">
        <v>5.4314639241523383E-2</v>
      </c>
      <c r="AV53" s="147">
        <v>6.3152820183191391E-2</v>
      </c>
      <c r="AW53" s="147">
        <v>0.12027827879412523</v>
      </c>
      <c r="AX53" s="147">
        <v>9.4769389332646226E-2</v>
      </c>
      <c r="AY53" s="147">
        <v>0.50594798150731424</v>
      </c>
      <c r="AZ53" s="162">
        <v>100.80653148183187</v>
      </c>
      <c r="BA53" s="177">
        <v>103.46706465010729</v>
      </c>
      <c r="BB53" s="9"/>
      <c r="BC53" s="150" t="s">
        <v>193</v>
      </c>
      <c r="BD53" s="151">
        <v>0.31758396117992593</v>
      </c>
      <c r="BE53" s="151">
        <v>0.4399796541200407</v>
      </c>
      <c r="BF53" s="151">
        <v>0.33674588665447897</v>
      </c>
      <c r="BG53" s="151">
        <v>0.60396744659206514</v>
      </c>
      <c r="BH53" s="151">
        <v>0.89040809588962611</v>
      </c>
      <c r="BI53" s="151">
        <v>5.7341040462427745E-2</v>
      </c>
      <c r="BJ53" s="151">
        <v>5.5260115606936416E-2</v>
      </c>
      <c r="BK53" s="151">
        <v>5.9511698880976599E-2</v>
      </c>
      <c r="BL53" s="151">
        <v>0.10213631739572737</v>
      </c>
      <c r="BM53" s="151">
        <v>0.56271771257413195</v>
      </c>
      <c r="BN53" s="165">
        <v>111.01158267392621</v>
      </c>
      <c r="BO53" s="168">
        <v>366.8384336934302</v>
      </c>
      <c r="BP53" s="9"/>
    </row>
    <row r="54" spans="1:68" x14ac:dyDescent="0.2">
      <c r="A54" s="9"/>
      <c r="B54" s="3">
        <v>2017</v>
      </c>
      <c r="C54" s="51" t="s">
        <v>35</v>
      </c>
      <c r="D54" s="26">
        <v>0.86199999999999999</v>
      </c>
      <c r="E54" s="71">
        <f>(T54-W54)/(R54-W54-Z54+AD54)</f>
        <v>0.31653088934147999</v>
      </c>
      <c r="F54" s="71">
        <f>AA54/Q54</f>
        <v>0.44671826953663452</v>
      </c>
      <c r="G54" s="71">
        <f>(U54+V54+W54)/T54</f>
        <v>0.41875540190146932</v>
      </c>
      <c r="H54" s="71">
        <f>(AA54+X54)/Q54</f>
        <v>0.60884317675750188</v>
      </c>
      <c r="I54" s="71">
        <f>(AA54/R54)+((T54+Y54+AB54)/(R54+Y54+AB54+AD54))</f>
        <v>0.94795163974438568</v>
      </c>
      <c r="J54" s="71">
        <f>W54/AA54</f>
        <v>0.10657488725373843</v>
      </c>
      <c r="K54" s="71">
        <f>(AC54+AD54)/AA54</f>
        <v>2.4922857821030146E-2</v>
      </c>
      <c r="L54" s="71">
        <f>Z54/Q54</f>
        <v>0.16519987276004666</v>
      </c>
      <c r="M54" s="71">
        <f>(Y54+AB54)/Q54</f>
        <v>0.16212490722086736</v>
      </c>
      <c r="N54" s="57">
        <f>(E54*0.7635+F54*0.7562+G54*0.75+H54*0.7248+I54*0.7021+J54*0.6285+1-K54*0.5884+1-L54*0.5276+M54*0.3663)/6.931</f>
        <v>0.58071522570829315</v>
      </c>
      <c r="O54" s="64">
        <f>N54/0.5191*100</f>
        <v>111.86962544948817</v>
      </c>
      <c r="P54" s="155">
        <f>(O54-100)/100*Q54*0.3389</f>
        <v>379.37292107426254</v>
      </c>
      <c r="Q54" s="54">
        <v>9431</v>
      </c>
      <c r="R54" s="54">
        <f>Q54-Y54-AB54-AC54-AD54</f>
        <v>7797</v>
      </c>
      <c r="S54" s="19" t="s">
        <v>19</v>
      </c>
      <c r="T54" s="19">
        <v>2314</v>
      </c>
      <c r="U54" s="19">
        <v>488</v>
      </c>
      <c r="V54" s="19">
        <v>32</v>
      </c>
      <c r="W54" s="19">
        <v>449</v>
      </c>
      <c r="X54" s="19">
        <v>1529</v>
      </c>
      <c r="Y54" s="54">
        <v>1401</v>
      </c>
      <c r="Z54" s="19">
        <v>1558</v>
      </c>
      <c r="AA54" s="54">
        <f>T54+U54+V54*2+W54*3</f>
        <v>4213</v>
      </c>
      <c r="AB54" s="19">
        <v>128</v>
      </c>
      <c r="AC54" s="19">
        <v>3</v>
      </c>
      <c r="AD54" s="19">
        <v>102</v>
      </c>
      <c r="AE54" s="9"/>
      <c r="AF54" s="6">
        <v>1969</v>
      </c>
      <c r="AG54" s="77">
        <v>3.2655704965151508E-2</v>
      </c>
      <c r="AH54" s="85">
        <v>0.49318341114600062</v>
      </c>
      <c r="AI54" s="86">
        <v>0.50431385772922577</v>
      </c>
      <c r="AJ54" s="76">
        <v>5.7282424618623198E-3</v>
      </c>
      <c r="AK54" s="41">
        <v>5.9500000000000004E-3</v>
      </c>
      <c r="AL54" s="42">
        <v>1.1260820575792946E-2</v>
      </c>
      <c r="AM54" s="78">
        <v>6.1700000000000001E-3</v>
      </c>
      <c r="AN54" s="9"/>
      <c r="AO54" s="146" t="s">
        <v>199</v>
      </c>
      <c r="AP54" s="147">
        <v>0.29127672655236014</v>
      </c>
      <c r="AQ54" s="147">
        <v>0.32908645821742516</v>
      </c>
      <c r="AR54" s="147">
        <v>0.22325475974614686</v>
      </c>
      <c r="AS54" s="147">
        <v>0.44314009124290643</v>
      </c>
      <c r="AT54" s="147">
        <v>0.69477723791392521</v>
      </c>
      <c r="AU54" s="147">
        <v>2.5021132713440405E-2</v>
      </c>
      <c r="AV54" s="147">
        <v>7.4556213017751477E-2</v>
      </c>
      <c r="AW54" s="147">
        <v>8.4121508846111054E-2</v>
      </c>
      <c r="AX54" s="147">
        <v>7.7667742294425288E-2</v>
      </c>
      <c r="AY54" s="147">
        <v>0.50563777021913892</v>
      </c>
      <c r="AZ54" s="162">
        <v>100.86530425277058</v>
      </c>
      <c r="BA54" s="177">
        <v>102.82074178440234</v>
      </c>
      <c r="BB54" s="9"/>
      <c r="BC54" s="150" t="s">
        <v>54</v>
      </c>
      <c r="BD54" s="151">
        <v>0.31777709548664412</v>
      </c>
      <c r="BE54" s="151">
        <v>0.45584014131154782</v>
      </c>
      <c r="BF54" s="151">
        <v>0.34013050570962478</v>
      </c>
      <c r="BG54" s="151">
        <v>0.61603002870390811</v>
      </c>
      <c r="BH54" s="151">
        <v>0.85393361686011815</v>
      </c>
      <c r="BI54" s="151">
        <v>9.2516347783967057E-2</v>
      </c>
      <c r="BJ54" s="151">
        <v>2.3976749818357956E-2</v>
      </c>
      <c r="BK54" s="151">
        <v>0.1570986972841687</v>
      </c>
      <c r="BL54" s="151">
        <v>8.103334069330978E-2</v>
      </c>
      <c r="BM54" s="151">
        <v>0.55970396894330954</v>
      </c>
      <c r="BN54" s="165">
        <v>111.58372586589105</v>
      </c>
      <c r="BO54" s="168">
        <v>355.59214295919429</v>
      </c>
      <c r="BP54" s="9"/>
    </row>
    <row r="55" spans="1:68" x14ac:dyDescent="0.2">
      <c r="A55" s="9"/>
      <c r="B55" s="3">
        <v>2003</v>
      </c>
      <c r="C55" s="51" t="s">
        <v>76</v>
      </c>
      <c r="D55" s="26">
        <v>0.85299999999999998</v>
      </c>
      <c r="E55" s="71">
        <f>(T55-W55)/(R55-W55-Z55+AD55)</f>
        <v>0.29129606099110544</v>
      </c>
      <c r="F55" s="71">
        <f>AA55/Q55</f>
        <v>0.4210813762971054</v>
      </c>
      <c r="G55" s="71">
        <f>(U55+V55+W55)/T55</f>
        <v>0.33763440860215055</v>
      </c>
      <c r="H55" s="71">
        <f>(AA55+X55)/Q55</f>
        <v>0.57064835764999611</v>
      </c>
      <c r="I55" s="71">
        <f>(AA55/R55)+((T55+Y55+AB55)/(R55+Y55+AB55+AD55))</f>
        <v>0.83551641196540194</v>
      </c>
      <c r="J55" s="71">
        <f>W55/AA55</f>
        <v>9.3385214007782102E-2</v>
      </c>
      <c r="K55" s="71">
        <f>(AC55+AD55)/AA55</f>
        <v>2.4087455994070781E-2</v>
      </c>
      <c r="L55" s="71">
        <f>Z55/Q55</f>
        <v>0.11828040883201997</v>
      </c>
      <c r="M55" s="71">
        <f>(Y55+AB55)/Q55</f>
        <v>0.10540688148552703</v>
      </c>
      <c r="N55" s="57">
        <f>(E55*0.7635+F55*0.7562+G55*0.75+H55*0.7248+I55*0.7021+J55*0.6285+1-K55*0.5884+1-L55*0.5276+M55*0.3663)/6.931</f>
        <v>0.55042554221976248</v>
      </c>
      <c r="O55" s="64">
        <f>N55/0.507*100</f>
        <v>108.56519570409515</v>
      </c>
      <c r="P55" s="155">
        <f>(O55-100)/100*Q55*0.3389</f>
        <v>372.04480410718423</v>
      </c>
      <c r="Q55" s="54">
        <v>12817</v>
      </c>
      <c r="R55" s="54">
        <f>Q55-Y55-AB55-AC55-AD55</f>
        <v>11336</v>
      </c>
      <c r="S55" s="20" t="s">
        <v>19</v>
      </c>
      <c r="T55" s="19">
        <v>3255</v>
      </c>
      <c r="U55" s="19">
        <v>560</v>
      </c>
      <c r="V55" s="19">
        <v>35</v>
      </c>
      <c r="W55" s="19">
        <v>504</v>
      </c>
      <c r="X55" s="19">
        <v>1917</v>
      </c>
      <c r="Y55" s="54">
        <v>1333</v>
      </c>
      <c r="Z55" s="19">
        <v>1516</v>
      </c>
      <c r="AA55" s="54">
        <f>T55+U55+V55*2+W55*3</f>
        <v>5397</v>
      </c>
      <c r="AB55" s="19">
        <v>18</v>
      </c>
      <c r="AC55" s="19">
        <v>2</v>
      </c>
      <c r="AD55" s="19">
        <v>128</v>
      </c>
      <c r="AE55" s="9"/>
      <c r="AF55" s="6">
        <v>1968</v>
      </c>
      <c r="AG55" s="77">
        <v>3.2019398674203239E-2</v>
      </c>
      <c r="AH55" s="85">
        <v>0.47677414581874861</v>
      </c>
      <c r="AI55" s="86">
        <v>0.51458966347400192</v>
      </c>
      <c r="AJ55" s="76">
        <v>5.7682917745979986E-3</v>
      </c>
      <c r="AK55" s="41">
        <v>6.4400000000000004E-3</v>
      </c>
      <c r="AL55" s="42">
        <v>1.2471758542782187E-2</v>
      </c>
      <c r="AM55" s="78">
        <v>6.2300000000000003E-3</v>
      </c>
      <c r="AN55" s="9"/>
      <c r="AO55" s="146" t="s">
        <v>59</v>
      </c>
      <c r="AP55" s="147">
        <v>0.27503429355281206</v>
      </c>
      <c r="AQ55" s="147">
        <v>0.30628087508821455</v>
      </c>
      <c r="AR55" s="147">
        <v>0.27531285551763368</v>
      </c>
      <c r="AS55" s="147">
        <v>0.39331921900729239</v>
      </c>
      <c r="AT55" s="147">
        <v>0.62763234851191108</v>
      </c>
      <c r="AU55" s="147">
        <v>5.9139784946236562E-2</v>
      </c>
      <c r="AV55" s="147">
        <v>7.6804915514592939E-2</v>
      </c>
      <c r="AW55" s="147">
        <v>0.20254057868736769</v>
      </c>
      <c r="AX55" s="147">
        <v>7.5746883086332623E-2</v>
      </c>
      <c r="AY55" s="147">
        <v>0.5162012666386705</v>
      </c>
      <c r="AZ55" s="162">
        <v>103.63406276624583</v>
      </c>
      <c r="BA55" s="177">
        <v>102.12937781646527</v>
      </c>
      <c r="BB55" s="9"/>
      <c r="BC55" s="150" t="s">
        <v>84</v>
      </c>
      <c r="BD55" s="151">
        <v>0.30806493846556693</v>
      </c>
      <c r="BE55" s="151">
        <v>0.41727281097504831</v>
      </c>
      <c r="BF55" s="151">
        <v>0.35248901903367497</v>
      </c>
      <c r="BG55" s="151">
        <v>0.56937666881502624</v>
      </c>
      <c r="BH55" s="151">
        <v>0.8044404429269707</v>
      </c>
      <c r="BI55" s="151">
        <v>8.3627537511032662E-2</v>
      </c>
      <c r="BJ55" s="151">
        <v>2.5375110326566638E-2</v>
      </c>
      <c r="BK55" s="151">
        <v>0.1718994567719363</v>
      </c>
      <c r="BL55" s="151">
        <v>8.9126231470398679E-2</v>
      </c>
      <c r="BM55" s="151">
        <v>0.54424756407350605</v>
      </c>
      <c r="BN55" s="165">
        <v>109.52859007315476</v>
      </c>
      <c r="BO55" s="168">
        <v>350.72766688278517</v>
      </c>
      <c r="BP55" s="9"/>
    </row>
    <row r="56" spans="1:68" x14ac:dyDescent="0.2">
      <c r="A56" s="9"/>
      <c r="B56" s="3">
        <v>1959</v>
      </c>
      <c r="C56" s="51" t="s">
        <v>212</v>
      </c>
      <c r="D56" s="26" t="s">
        <v>19</v>
      </c>
      <c r="E56" s="71">
        <f>(T56-W56)/(R56-W56-Z56+AD56)</f>
        <v>0.32711280161654582</v>
      </c>
      <c r="F56" s="71">
        <f>AA56/Q56</f>
        <v>0.40971320075946838</v>
      </c>
      <c r="G56" s="71">
        <f>(U56+V56+W56)/T56</f>
        <v>0.27045769764216365</v>
      </c>
      <c r="H56" s="71">
        <f>(AA56+X56)/Q56</f>
        <v>0.53442590186869188</v>
      </c>
      <c r="I56" s="71">
        <f>(AA56/R56)+((T56+Y56+AB56)/(R56+Y56+AB56+AD56))</f>
        <v>0.82046261578837432</v>
      </c>
      <c r="J56" s="71">
        <f>W56/AA56</f>
        <v>3.2195121951219513E-2</v>
      </c>
      <c r="K56" s="71">
        <f>(AC56+AD56)/AA56</f>
        <v>5.9024390243902436E-2</v>
      </c>
      <c r="L56" s="71">
        <f>Z56/Q56</f>
        <v>5.7159988008394128E-2</v>
      </c>
      <c r="M56" s="71">
        <f>(Y56+AB56)/Q56</f>
        <v>7.2649145598081347E-2</v>
      </c>
      <c r="N56" s="57">
        <f>(E56*0.7635+F56*0.7562+G56*0.75+H56*0.7248+I56*0.7021+J56*0.6285+1-K56*0.5884+1-L56*0.5276+M56*0.3663)/6.931</f>
        <v>0.53495544238721515</v>
      </c>
      <c r="O56" s="64">
        <f>N56/0.4823*100</f>
        <v>110.91757047215739</v>
      </c>
      <c r="P56" s="155">
        <f>(O56-100)/100*Q56*0.3389</f>
        <v>370.25546082572504</v>
      </c>
      <c r="Q56" s="54">
        <v>10007</v>
      </c>
      <c r="R56" s="21">
        <f>Q56-Y56-AB56-AC56-AD56</f>
        <v>9038</v>
      </c>
      <c r="S56" s="20" t="s">
        <v>19</v>
      </c>
      <c r="T56" s="19">
        <v>2884</v>
      </c>
      <c r="U56" s="19">
        <v>476</v>
      </c>
      <c r="V56" s="19">
        <v>172</v>
      </c>
      <c r="W56" s="19">
        <v>132</v>
      </c>
      <c r="X56" s="19">
        <v>1248</v>
      </c>
      <c r="Y56" s="54">
        <v>650</v>
      </c>
      <c r="Z56" s="19">
        <v>572</v>
      </c>
      <c r="AA56" s="54">
        <f>T56+U56+V56*2+W56*3</f>
        <v>4100</v>
      </c>
      <c r="AB56" s="19">
        <v>77</v>
      </c>
      <c r="AC56" s="19">
        <v>163</v>
      </c>
      <c r="AD56" s="21">
        <v>79</v>
      </c>
      <c r="AE56" s="9"/>
      <c r="AF56" s="6">
        <v>1967</v>
      </c>
      <c r="AG56" s="77">
        <v>3.3498005875691378E-2</v>
      </c>
      <c r="AH56" s="85">
        <v>0.48630740237399267</v>
      </c>
      <c r="AI56" s="86">
        <v>0.50861975010352867</v>
      </c>
      <c r="AJ56" s="76">
        <v>6.4993681169886264E-3</v>
      </c>
      <c r="AK56" s="41">
        <v>6.1599999999999997E-3</v>
      </c>
      <c r="AL56" s="42">
        <v>1.2145283854978746E-2</v>
      </c>
      <c r="AM56" s="78">
        <v>6.0600000000000003E-3</v>
      </c>
      <c r="AN56" s="9"/>
      <c r="AO56" s="146" t="s">
        <v>225</v>
      </c>
      <c r="AP56" s="147">
        <v>0.28813291139240504</v>
      </c>
      <c r="AQ56" s="147">
        <v>0.32957608429306545</v>
      </c>
      <c r="AR56" s="147">
        <v>0.26931106471816285</v>
      </c>
      <c r="AS56" s="147">
        <v>0.42440578289634895</v>
      </c>
      <c r="AT56" s="147">
        <v>0.65520780870099604</v>
      </c>
      <c r="AU56" s="147">
        <v>3.5315985130111527E-2</v>
      </c>
      <c r="AV56" s="147">
        <v>6.245353159851301E-2</v>
      </c>
      <c r="AW56" s="147">
        <v>0.14248958588581231</v>
      </c>
      <c r="AX56" s="147">
        <v>5.8686596422445482E-2</v>
      </c>
      <c r="AY56" s="147">
        <v>0.50861973629569213</v>
      </c>
      <c r="AZ56" s="162">
        <v>101.84616265432361</v>
      </c>
      <c r="BA56" s="177">
        <v>99.617057433719722</v>
      </c>
      <c r="BB56" s="9"/>
      <c r="BC56" s="150" t="s">
        <v>157</v>
      </c>
      <c r="BD56" s="151">
        <v>0.26428920371275039</v>
      </c>
      <c r="BE56" s="151">
        <v>0.45588235294117646</v>
      </c>
      <c r="BF56" s="151">
        <v>0.43004824259131635</v>
      </c>
      <c r="BG56" s="151">
        <v>0.61812659846547313</v>
      </c>
      <c r="BH56" s="151">
        <v>0.949595117068185</v>
      </c>
      <c r="BI56" s="151">
        <v>0.12938288920056101</v>
      </c>
      <c r="BJ56" s="151">
        <v>1.788218793828892E-2</v>
      </c>
      <c r="BK56" s="151">
        <v>0.11972506393861893</v>
      </c>
      <c r="BL56" s="151">
        <v>0.16544117647058823</v>
      </c>
      <c r="BM56" s="151">
        <v>0.58462235467038837</v>
      </c>
      <c r="BN56" s="165">
        <v>116.43544207735279</v>
      </c>
      <c r="BO56" s="168">
        <v>348.45740578012959</v>
      </c>
      <c r="BP56" s="9"/>
    </row>
    <row r="57" spans="1:68" x14ac:dyDescent="0.2">
      <c r="A57" s="9"/>
      <c r="B57" s="3">
        <v>1974</v>
      </c>
      <c r="C57" s="51" t="s">
        <v>165</v>
      </c>
      <c r="D57" s="26" t="s">
        <v>19</v>
      </c>
      <c r="E57" s="71">
        <f>(T57-W57)/(R57-W57-Z57+AD57)</f>
        <v>0.33652629676486534</v>
      </c>
      <c r="F57" s="71">
        <f>AA57/Q57</f>
        <v>0.46444989273674531</v>
      </c>
      <c r="G57" s="71">
        <f>(U57+V57+W57)/T57</f>
        <v>0.31690140845070425</v>
      </c>
      <c r="H57" s="71">
        <f>(AA57+X57)/Q57</f>
        <v>0.66487894575543982</v>
      </c>
      <c r="I57" s="71">
        <f>(AA57/R57)+((T57+Y57+AB57)/(R57+Y57+AB57+AD57))</f>
        <v>0.91018845335396859</v>
      </c>
      <c r="J57" s="71">
        <f>W57/AA57</f>
        <v>4.1570438799076209E-2</v>
      </c>
      <c r="K57" s="71">
        <f>(AC57+AD57)/AA57</f>
        <v>5.3777631144836691E-2</v>
      </c>
      <c r="L57" s="71">
        <f>Z57/Q57</f>
        <v>3.5856573705179286E-2</v>
      </c>
      <c r="M57" s="71">
        <f>(Y57+AB57)/Q57</f>
        <v>7.9987741342323018E-2</v>
      </c>
      <c r="N57" s="57">
        <f>(E57*0.7635+F57*0.7562+G57*0.75+H57*0.7248+I57*0.7021+J57*0.6285+1-K57*0.5884+1-L57*0.5276+M57*0.3663)/6.931</f>
        <v>0.57302615925195943</v>
      </c>
      <c r="O57" s="64">
        <f>N57/0.4913*100</f>
        <v>116.63467519885191</v>
      </c>
      <c r="P57" s="155">
        <f>(O57-100)/100*Q57*0.3389</f>
        <v>367.90269038838085</v>
      </c>
      <c r="Q57" s="54">
        <v>6526</v>
      </c>
      <c r="R57" s="21">
        <f>Q57-Y57-AB57-AC57-AD57</f>
        <v>5841</v>
      </c>
      <c r="S57" s="20" t="s">
        <v>19</v>
      </c>
      <c r="T57" s="19">
        <v>1988</v>
      </c>
      <c r="U57" s="19">
        <v>343</v>
      </c>
      <c r="V57" s="19">
        <v>161</v>
      </c>
      <c r="W57" s="19">
        <v>126</v>
      </c>
      <c r="X57" s="19">
        <v>1308</v>
      </c>
      <c r="Y57" s="54">
        <v>452</v>
      </c>
      <c r="Z57" s="19">
        <v>234</v>
      </c>
      <c r="AA57" s="54">
        <f>T57+U57+V57*2+W57*3</f>
        <v>3031</v>
      </c>
      <c r="AB57" s="21">
        <v>70</v>
      </c>
      <c r="AC57" s="21">
        <v>111</v>
      </c>
      <c r="AD57" s="21">
        <v>52</v>
      </c>
      <c r="AE57" s="9"/>
      <c r="AF57" s="6">
        <v>1966</v>
      </c>
      <c r="AG57" s="77">
        <v>3.3852904201211148E-2</v>
      </c>
      <c r="AH57" s="85">
        <v>0.49572966762159681</v>
      </c>
      <c r="AI57" s="86">
        <v>0.50271934168004262</v>
      </c>
      <c r="AJ57" s="76">
        <v>6.7377139429594998E-3</v>
      </c>
      <c r="AK57" s="41">
        <v>5.5999999999999999E-3</v>
      </c>
      <c r="AL57" s="42">
        <v>1.1955333886592772E-2</v>
      </c>
      <c r="AM57" s="78">
        <v>6.1000000000000004E-3</v>
      </c>
      <c r="AN57" s="9"/>
      <c r="AO57" s="146" t="s">
        <v>147</v>
      </c>
      <c r="AP57" s="147">
        <v>0.25690721649484538</v>
      </c>
      <c r="AQ57" s="147">
        <v>0.27297266899111461</v>
      </c>
      <c r="AR57" s="147">
        <v>0.2097457627118644</v>
      </c>
      <c r="AS57" s="147">
        <v>0.35507816893487798</v>
      </c>
      <c r="AT57" s="147">
        <v>0.5656055707365647</v>
      </c>
      <c r="AU57" s="147">
        <v>7.828594973217964E-3</v>
      </c>
      <c r="AV57" s="147">
        <v>0.13514627111660485</v>
      </c>
      <c r="AW57" s="147">
        <v>0.10347542458666067</v>
      </c>
      <c r="AX57" s="147">
        <v>4.7463727364750873E-2</v>
      </c>
      <c r="AY57" s="147">
        <v>0.5328383829495501</v>
      </c>
      <c r="AZ57" s="162">
        <v>101.66731214454305</v>
      </c>
      <c r="BA57" s="177">
        <v>98.001941824121189</v>
      </c>
      <c r="BB57" s="9"/>
      <c r="BC57" s="150" t="s">
        <v>158</v>
      </c>
      <c r="BD57" s="151">
        <v>0.31786542923433875</v>
      </c>
      <c r="BE57" s="151">
        <v>0.46946406314914829</v>
      </c>
      <c r="BF57" s="151">
        <v>0.37989103516592371</v>
      </c>
      <c r="BG57" s="151">
        <v>0.63066057332779391</v>
      </c>
      <c r="BH57" s="151">
        <v>0.93220139048388506</v>
      </c>
      <c r="BI57" s="151">
        <v>7.0206489675516223E-2</v>
      </c>
      <c r="BJ57" s="151">
        <v>3.2743362831858407E-2</v>
      </c>
      <c r="BK57" s="151">
        <v>7.1735216728984905E-2</v>
      </c>
      <c r="BL57" s="151">
        <v>0.11175737432488575</v>
      </c>
      <c r="BM57" s="151">
        <v>0.58031545893734759</v>
      </c>
      <c r="BN57" s="165">
        <v>114.19036972399599</v>
      </c>
      <c r="BO57" s="168">
        <v>347.26628798416829</v>
      </c>
      <c r="BP57" s="9"/>
    </row>
    <row r="58" spans="1:68" x14ac:dyDescent="0.2">
      <c r="A58" s="9"/>
      <c r="B58" s="3">
        <v>1968</v>
      </c>
      <c r="C58" s="51" t="s">
        <v>193</v>
      </c>
      <c r="D58" s="26" t="s">
        <v>19</v>
      </c>
      <c r="E58" s="71">
        <f>(T58-W58)/(R58-W58-Z58+AD58)</f>
        <v>0.31758396117992593</v>
      </c>
      <c r="F58" s="71">
        <f>AA58/Q58</f>
        <v>0.4399796541200407</v>
      </c>
      <c r="G58" s="71">
        <f>(U58+V58+W58)/T58</f>
        <v>0.33674588665447897</v>
      </c>
      <c r="H58" s="71">
        <f>(AA58+X58)/Q58</f>
        <v>0.60396744659206514</v>
      </c>
      <c r="I58" s="71">
        <f>(AA58/R58)+((T58+Y58+AB58)/(R58+Y58+AB58+AD58))</f>
        <v>0.89040809588962611</v>
      </c>
      <c r="J58" s="71">
        <f>W58/AA58</f>
        <v>5.7341040462427745E-2</v>
      </c>
      <c r="K58" s="71">
        <f>(AC58+AD58)/AA58</f>
        <v>5.5260115606936416E-2</v>
      </c>
      <c r="L58" s="71">
        <f>Z58/Q58</f>
        <v>5.9511698880976599E-2</v>
      </c>
      <c r="M58" s="71">
        <f>(Y58+AB58)/Q58</f>
        <v>0.10213631739572737</v>
      </c>
      <c r="N58" s="57">
        <f>(E58*0.7635+F58*0.7562+G58*0.75+H58*0.7248+I58*0.7021+J58*0.6285+1-K58*0.5884+1-L58*0.5276+M58*0.3663)/6.931</f>
        <v>0.56271771257413195</v>
      </c>
      <c r="O58" s="64">
        <f>N58/0.5069*100</f>
        <v>111.01158267392621</v>
      </c>
      <c r="P58" s="155">
        <f>(O58-100)/100*Q58*0.3389</f>
        <v>366.8384336934302</v>
      </c>
      <c r="Q58" s="54">
        <v>9830</v>
      </c>
      <c r="R58" s="21">
        <f>Q58-Y58-AB58-AC58-AD58</f>
        <v>8587</v>
      </c>
      <c r="S58" s="20" t="s">
        <v>19</v>
      </c>
      <c r="T58" s="19">
        <v>2735</v>
      </c>
      <c r="U58" s="19">
        <v>500</v>
      </c>
      <c r="V58" s="19">
        <v>173</v>
      </c>
      <c r="W58" s="19">
        <v>248</v>
      </c>
      <c r="X58" s="19">
        <v>1612</v>
      </c>
      <c r="Y58" s="54">
        <v>949</v>
      </c>
      <c r="Z58" s="19">
        <v>585</v>
      </c>
      <c r="AA58" s="54">
        <f>T58+U58+V58*2+W58*3</f>
        <v>4325</v>
      </c>
      <c r="AB58" s="19">
        <v>55</v>
      </c>
      <c r="AC58" s="19">
        <v>162</v>
      </c>
      <c r="AD58" s="21">
        <v>77</v>
      </c>
      <c r="AE58" s="9"/>
      <c r="AF58" s="6">
        <v>1965</v>
      </c>
      <c r="AG58" s="77">
        <v>3.4201052340072001E-2</v>
      </c>
      <c r="AH58" s="85">
        <v>0.49389125172724962</v>
      </c>
      <c r="AI58" s="86">
        <v>0.50387059398973899</v>
      </c>
      <c r="AJ58" s="76">
        <v>6.4101519865769627E-3</v>
      </c>
      <c r="AK58" s="41">
        <v>5.8599999999999998E-3</v>
      </c>
      <c r="AL58" s="42">
        <v>1.2119829931418705E-2</v>
      </c>
      <c r="AM58" s="78">
        <v>6.2399999999999999E-3</v>
      </c>
      <c r="AN58" s="9"/>
      <c r="AO58" s="146" t="s">
        <v>96</v>
      </c>
      <c r="AP58" s="147">
        <v>0.27314094120464616</v>
      </c>
      <c r="AQ58" s="147">
        <v>0.32954094456938748</v>
      </c>
      <c r="AR58" s="147">
        <v>0.26586042823156225</v>
      </c>
      <c r="AS58" s="147">
        <v>0.43259690435242759</v>
      </c>
      <c r="AT58" s="147">
        <v>0.67651734340713188</v>
      </c>
      <c r="AU58" s="147">
        <v>6.4498862571925594E-2</v>
      </c>
      <c r="AV58" s="147">
        <v>4.2954636692091527E-2</v>
      </c>
      <c r="AW58" s="147">
        <v>0.14737399126868633</v>
      </c>
      <c r="AX58" s="147">
        <v>8.5196454557481149E-2</v>
      </c>
      <c r="AY58" s="147">
        <v>0.50466368580091692</v>
      </c>
      <c r="AZ58" s="162">
        <v>100.65091459930532</v>
      </c>
      <c r="BA58" s="177">
        <v>97.583585125801989</v>
      </c>
      <c r="BB58" s="9"/>
      <c r="BC58" s="150" t="s">
        <v>178</v>
      </c>
      <c r="BD58" s="151">
        <v>0.32131184492279952</v>
      </c>
      <c r="BE58" s="151">
        <v>0.39551245483932307</v>
      </c>
      <c r="BF58" s="151">
        <v>0.27365554799183117</v>
      </c>
      <c r="BG58" s="151">
        <v>0.54582620270013316</v>
      </c>
      <c r="BH58" s="151">
        <v>0.80585079308425955</v>
      </c>
      <c r="BI58" s="151">
        <v>2.0913461538461537E-2</v>
      </c>
      <c r="BJ58" s="151">
        <v>7.6442307692307698E-2</v>
      </c>
      <c r="BK58" s="151">
        <v>5.0009507510933637E-2</v>
      </c>
      <c r="BL58" s="151">
        <v>7.5965012359764217E-2</v>
      </c>
      <c r="BM58" s="151">
        <v>0.53104297663812206</v>
      </c>
      <c r="BN58" s="165">
        <v>109.62902077583033</v>
      </c>
      <c r="BO58" s="168">
        <v>343.23127932290146</v>
      </c>
      <c r="BP58" s="9"/>
    </row>
    <row r="59" spans="1:68" x14ac:dyDescent="0.2">
      <c r="A59" s="9"/>
      <c r="B59" s="3">
        <v>2009</v>
      </c>
      <c r="C59" s="51" t="s">
        <v>54</v>
      </c>
      <c r="D59" s="26">
        <v>0.76400000000000001</v>
      </c>
      <c r="E59" s="71">
        <f>(T59-W59)/(R59-W59-Z59+AD59)</f>
        <v>0.31777709548664412</v>
      </c>
      <c r="F59" s="71">
        <f>AA59/Q59</f>
        <v>0.45584014131154782</v>
      </c>
      <c r="G59" s="71">
        <f>(U59+V59+W59)/T59</f>
        <v>0.34013050570962478</v>
      </c>
      <c r="H59" s="71">
        <f>(AA59+X59)/Q59</f>
        <v>0.61603002870390811</v>
      </c>
      <c r="I59" s="71">
        <f>(AA59/R59)+((T59+Y59+AB59)/(R59+Y59+AB59+AD59))</f>
        <v>0.85393361686011815</v>
      </c>
      <c r="J59" s="71">
        <f>W59/AA59</f>
        <v>9.2516347783967057E-2</v>
      </c>
      <c r="K59" s="71">
        <f>(AC59+AD59)/AA59</f>
        <v>2.3976749818357956E-2</v>
      </c>
      <c r="L59" s="71">
        <f>Z59/Q59</f>
        <v>0.1570986972841687</v>
      </c>
      <c r="M59" s="71">
        <f>(Y59+AB59)/Q59</f>
        <v>8.103334069330978E-2</v>
      </c>
      <c r="N59" s="57">
        <f>(E59*0.7635+F59*0.7562+G59*0.75+H59*0.7248+I59*0.7021+J59*0.6285+1-K59*0.5884+1-L59*0.5276+M59*0.3663)/6.931</f>
        <v>0.55970396894330954</v>
      </c>
      <c r="O59" s="64">
        <f>N59/0.5016*100</f>
        <v>111.58372586589105</v>
      </c>
      <c r="P59" s="155">
        <f>(O59-100)/100*Q59*0.3389</f>
        <v>355.59214295919429</v>
      </c>
      <c r="Q59" s="54">
        <v>9058</v>
      </c>
      <c r="R59" s="54">
        <f>Q59-Y59-AB59-AC59-AD59</f>
        <v>8225</v>
      </c>
      <c r="S59" s="19" t="s">
        <v>19</v>
      </c>
      <c r="T59" s="19">
        <v>2452</v>
      </c>
      <c r="U59" s="19">
        <v>373</v>
      </c>
      <c r="V59" s="19">
        <v>79</v>
      </c>
      <c r="W59" s="19">
        <v>382</v>
      </c>
      <c r="X59" s="19">
        <v>1451</v>
      </c>
      <c r="Y59" s="54">
        <v>670</v>
      </c>
      <c r="Z59" s="19">
        <v>1423</v>
      </c>
      <c r="AA59" s="54">
        <f>T59+U59+V59*2+W59*3</f>
        <v>4129</v>
      </c>
      <c r="AB59" s="19">
        <v>64</v>
      </c>
      <c r="AC59" s="19">
        <v>5</v>
      </c>
      <c r="AD59" s="19">
        <v>94</v>
      </c>
      <c r="AE59" s="9"/>
      <c r="AF59" s="6">
        <v>1964</v>
      </c>
      <c r="AG59" s="77">
        <v>3.4712624989838223E-2</v>
      </c>
      <c r="AH59" s="85">
        <v>0.49670624535059588</v>
      </c>
      <c r="AI59" s="86">
        <v>0.50210778943576273</v>
      </c>
      <c r="AJ59" s="76">
        <v>6.1783594829688641E-3</v>
      </c>
      <c r="AK59" s="41">
        <v>5.64E-3</v>
      </c>
      <c r="AL59" s="42">
        <v>1.1885212584342737E-2</v>
      </c>
      <c r="AM59" s="78">
        <v>6.0099999999999997E-3</v>
      </c>
      <c r="AN59" s="9"/>
      <c r="AO59" s="146" t="s">
        <v>82</v>
      </c>
      <c r="AP59" s="147">
        <v>0.28399699474079637</v>
      </c>
      <c r="AQ59" s="147">
        <v>0.29396477043026276</v>
      </c>
      <c r="AR59" s="147">
        <v>0.24380704041720991</v>
      </c>
      <c r="AS59" s="147">
        <v>0.39647704302627779</v>
      </c>
      <c r="AT59" s="147">
        <v>0.59644436363035269</v>
      </c>
      <c r="AU59" s="147">
        <v>1.0805500982318271E-2</v>
      </c>
      <c r="AV59" s="147">
        <v>8.3497053045186634E-2</v>
      </c>
      <c r="AW59" s="147">
        <v>0.15939936471267688</v>
      </c>
      <c r="AX59" s="147">
        <v>5.1978053710655503E-2</v>
      </c>
      <c r="AY59" s="147">
        <v>0.52216160631599284</v>
      </c>
      <c r="AZ59" s="162">
        <v>103.95413225482638</v>
      </c>
      <c r="BA59" s="177">
        <v>90.525480749843794</v>
      </c>
      <c r="BB59" s="9"/>
      <c r="BC59" s="150" t="s">
        <v>233</v>
      </c>
      <c r="BD59" s="151">
        <v>0.31941770933589991</v>
      </c>
      <c r="BE59" s="151">
        <v>0.41551976573938504</v>
      </c>
      <c r="BF59" s="151">
        <v>0.31842197957027124</v>
      </c>
      <c r="BG59" s="151">
        <v>0.55480722303562713</v>
      </c>
      <c r="BH59" s="151">
        <v>0.88766106584140703</v>
      </c>
      <c r="BI59" s="151">
        <v>4.3222926943857175E-2</v>
      </c>
      <c r="BJ59" s="151">
        <v>5.1679586563307491E-2</v>
      </c>
      <c r="BK59" s="151">
        <v>3.6310395314787698E-2</v>
      </c>
      <c r="BL59" s="151">
        <v>0.12064421669106881</v>
      </c>
      <c r="BM59" s="151">
        <v>0.55461708484309347</v>
      </c>
      <c r="BN59" s="165">
        <v>109.65146003224464</v>
      </c>
      <c r="BO59" s="168">
        <v>335.10163601484379</v>
      </c>
      <c r="BP59" s="9"/>
    </row>
    <row r="60" spans="1:68" x14ac:dyDescent="0.2">
      <c r="A60" s="9"/>
      <c r="B60" s="3">
        <v>2000</v>
      </c>
      <c r="C60" s="51" t="s">
        <v>84</v>
      </c>
      <c r="D60" s="26">
        <v>0.77200000000000002</v>
      </c>
      <c r="E60" s="71">
        <f>(T60-W60)/(R60-W60-Z60+AD60)</f>
        <v>0.30806493846556693</v>
      </c>
      <c r="F60" s="71">
        <f>AA60/Q60</f>
        <v>0.41727281097504831</v>
      </c>
      <c r="G60" s="71">
        <f>(U60+V60+W60)/T60</f>
        <v>0.35248901903367497</v>
      </c>
      <c r="H60" s="71">
        <f>(AA60+X60)/Q60</f>
        <v>0.56937666881502624</v>
      </c>
      <c r="I60" s="71">
        <f>(AA60/R60)+((T60+Y60+AB60)/(R60+Y60+AB60+AD60))</f>
        <v>0.8044404429269707</v>
      </c>
      <c r="J60" s="71">
        <f>W60/AA60</f>
        <v>8.3627537511032662E-2</v>
      </c>
      <c r="K60" s="71">
        <f>(AC60+AD60)/AA60</f>
        <v>2.5375110326566638E-2</v>
      </c>
      <c r="L60" s="71">
        <f>Z60/Q60</f>
        <v>0.1718994567719363</v>
      </c>
      <c r="M60" s="71">
        <f>(Y60+AB60)/Q60</f>
        <v>8.9126231470398679E-2</v>
      </c>
      <c r="N60" s="57">
        <f>(E60*0.7635+F60*0.7562+G60*0.75+H60*0.7248+I60*0.7021+J60*0.6285+1-K60*0.5884+1-L60*0.5276+M60*0.3663)/6.931</f>
        <v>0.54424756407350605</v>
      </c>
      <c r="O60" s="64">
        <f>N60/0.4969*100</f>
        <v>109.52859007315476</v>
      </c>
      <c r="P60" s="155">
        <f>(O60-100)/100*Q60*0.3389</f>
        <v>350.72766688278517</v>
      </c>
      <c r="Q60" s="54">
        <v>10861</v>
      </c>
      <c r="R60" s="54">
        <f>Q60-Y60-AB60-AC60-AD60</f>
        <v>9778</v>
      </c>
      <c r="S60" s="20" t="s">
        <v>19</v>
      </c>
      <c r="T60" s="19">
        <v>2732</v>
      </c>
      <c r="U60" s="19">
        <v>505</v>
      </c>
      <c r="V60" s="19">
        <v>79</v>
      </c>
      <c r="W60" s="19">
        <v>379</v>
      </c>
      <c r="X60" s="19">
        <v>1652</v>
      </c>
      <c r="Y60" s="54">
        <v>925</v>
      </c>
      <c r="Z60" s="19">
        <v>1867</v>
      </c>
      <c r="AA60" s="54">
        <f>T60+U60+V60*2+W60*3</f>
        <v>4532</v>
      </c>
      <c r="AB60" s="19">
        <v>43</v>
      </c>
      <c r="AC60" s="19">
        <v>9</v>
      </c>
      <c r="AD60" s="19">
        <v>106</v>
      </c>
      <c r="AE60" s="9"/>
      <c r="AF60" s="6">
        <v>1963</v>
      </c>
      <c r="AG60" s="77">
        <v>3.3486684589424484E-2</v>
      </c>
      <c r="AH60" s="85">
        <v>0.49363490553981559</v>
      </c>
      <c r="AI60" s="86">
        <v>0.50403112303067754</v>
      </c>
      <c r="AJ60" s="76">
        <v>6.4636328721900359E-3</v>
      </c>
      <c r="AK60" s="41">
        <v>5.8300000000000001E-3</v>
      </c>
      <c r="AL60" s="42">
        <v>1.1832288747068485E-2</v>
      </c>
      <c r="AM60" s="78">
        <v>6.28E-3</v>
      </c>
      <c r="AN60" s="9"/>
      <c r="AO60" s="146" t="s">
        <v>234</v>
      </c>
      <c r="AP60" s="147">
        <v>0.26845975622040896</v>
      </c>
      <c r="AQ60" s="147">
        <v>0.28449799196787151</v>
      </c>
      <c r="AR60" s="147">
        <v>0.2189807976366322</v>
      </c>
      <c r="AS60" s="147">
        <v>0.36835341365461849</v>
      </c>
      <c r="AT60" s="147">
        <v>0.59994180154799048</v>
      </c>
      <c r="AU60" s="147">
        <v>1.2140033879164314E-2</v>
      </c>
      <c r="AV60" s="147">
        <v>0.13297571993224166</v>
      </c>
      <c r="AW60" s="147">
        <v>0.11044176706827309</v>
      </c>
      <c r="AX60" s="147">
        <v>5.8955823293172692E-2</v>
      </c>
      <c r="AY60" s="147">
        <v>0.52717227718074033</v>
      </c>
      <c r="AZ60" s="162">
        <v>101.06830467422169</v>
      </c>
      <c r="BA60" s="177">
        <v>87.928899405931176</v>
      </c>
      <c r="BB60" s="9"/>
      <c r="BC60" s="150" t="s">
        <v>167</v>
      </c>
      <c r="BD60" s="151">
        <v>0.34285714285714286</v>
      </c>
      <c r="BE60" s="151">
        <v>0.43987465726596159</v>
      </c>
      <c r="BF60" s="151">
        <v>0.28199999999999997</v>
      </c>
      <c r="BG60" s="151">
        <v>0.56766549157853508</v>
      </c>
      <c r="BH60" s="151">
        <v>0.83441952625955795</v>
      </c>
      <c r="BI60" s="151">
        <v>5.3428317008014245E-2</v>
      </c>
      <c r="BJ60" s="151">
        <v>2.2707034728406055E-2</v>
      </c>
      <c r="BK60" s="151">
        <v>0.12044653349001175</v>
      </c>
      <c r="BL60" s="151">
        <v>6.4238151194672938E-2</v>
      </c>
      <c r="BM60" s="151">
        <v>0.54586585828849044</v>
      </c>
      <c r="BN60" s="165">
        <v>109.65565654650268</v>
      </c>
      <c r="BO60" s="168">
        <v>334.16748060862864</v>
      </c>
      <c r="BP60" s="9"/>
    </row>
    <row r="61" spans="1:68" x14ac:dyDescent="0.2">
      <c r="A61" s="9"/>
      <c r="B61" s="3">
        <v>1964</v>
      </c>
      <c r="C61" s="106" t="s">
        <v>200</v>
      </c>
      <c r="D61" s="98" t="s">
        <v>19</v>
      </c>
      <c r="E61" s="99">
        <f>(T61-W61)/(R61-W61-Z61+AD61)</f>
        <v>0.26484156853223262</v>
      </c>
      <c r="F61" s="99">
        <f>AA61/Q61</f>
        <v>0.28661477484360826</v>
      </c>
      <c r="G61" s="99">
        <f>(U61+V61+W61)/T61</f>
        <v>0.25078864353312302</v>
      </c>
      <c r="H61" s="99">
        <f>(AA61+S61)/Q61</f>
        <v>0.40456520701017146</v>
      </c>
      <c r="I61" s="99">
        <f>(AA61/R61)+((T61+Y61+AB61)/(R61+Y61+AB61+AD61))</f>
        <v>0.6011356428228507</v>
      </c>
      <c r="J61" s="99">
        <f>W61/AA61</f>
        <v>1.2495834721759413E-2</v>
      </c>
      <c r="K61" s="99">
        <f>(AC61+AD61)/AA61</f>
        <v>9.9633455514828384E-2</v>
      </c>
      <c r="L61" s="99">
        <f>Z61/Q61</f>
        <v>0.12243923403848909</v>
      </c>
      <c r="M61" s="99">
        <f>(Y61+AB61)/Q61</f>
        <v>6.6567976696432829E-2</v>
      </c>
      <c r="N61" s="100">
        <f>(1-E61*0.7635+1-F61*0.7562+1-G61*0.75+1-H61*0.7248+1-I61*0.7021+1-J61*0.6285+K61*0.5884+L61*0.5276+1-M61*0.3663)/11.068</f>
        <v>0.52120197626393827</v>
      </c>
      <c r="O61" s="101">
        <f>N61/0.5084*100</f>
        <v>102.5180913186346</v>
      </c>
      <c r="P61" s="102">
        <f>(O61-100)/100*Q61*0.6611</f>
        <v>348.60695685661847</v>
      </c>
      <c r="Q61" s="54">
        <v>20941</v>
      </c>
      <c r="R61" s="21">
        <f>Q61-Y61-AB61-AC61-AD61</f>
        <v>18949</v>
      </c>
      <c r="S61" s="19">
        <v>2470</v>
      </c>
      <c r="T61" s="19">
        <v>4438</v>
      </c>
      <c r="U61" s="21">
        <v>737</v>
      </c>
      <c r="V61" s="21">
        <v>301</v>
      </c>
      <c r="W61" s="19">
        <v>75</v>
      </c>
      <c r="X61" s="20" t="s">
        <v>19</v>
      </c>
      <c r="Y61" s="54">
        <v>1233</v>
      </c>
      <c r="Z61" s="19">
        <v>2564</v>
      </c>
      <c r="AA61" s="21">
        <f>T61+U61+V61*2+W61*3</f>
        <v>6002</v>
      </c>
      <c r="AB61" s="21">
        <v>161</v>
      </c>
      <c r="AC61" s="21">
        <v>434</v>
      </c>
      <c r="AD61" s="21">
        <v>164</v>
      </c>
      <c r="AE61" s="9"/>
      <c r="AF61" s="6">
        <v>1962</v>
      </c>
      <c r="AG61" s="77">
        <v>3.4621713827011839E-2</v>
      </c>
      <c r="AH61" s="85">
        <v>0.50554010861169763</v>
      </c>
      <c r="AI61" s="86">
        <v>0.49657584994690301</v>
      </c>
      <c r="AJ61" s="76">
        <v>6.8472807545655228E-3</v>
      </c>
      <c r="AK61" s="41">
        <v>5.6899999999999997E-3</v>
      </c>
      <c r="AL61" s="42">
        <v>1.0925145494681919E-2</v>
      </c>
      <c r="AM61" s="78">
        <v>6.79E-3</v>
      </c>
      <c r="AN61" s="9"/>
      <c r="AO61" s="146" t="s">
        <v>194</v>
      </c>
      <c r="AP61" s="147">
        <v>0.27993887190886357</v>
      </c>
      <c r="AQ61" s="147">
        <v>0.33300944669365723</v>
      </c>
      <c r="AR61" s="147">
        <v>0.27847805788982261</v>
      </c>
      <c r="AS61" s="147">
        <v>0.44717948717948719</v>
      </c>
      <c r="AT61" s="147">
        <v>0.69661843440752924</v>
      </c>
      <c r="AU61" s="147">
        <v>4.1173609985410926E-2</v>
      </c>
      <c r="AV61" s="147">
        <v>7.0027557140541416E-2</v>
      </c>
      <c r="AW61" s="147">
        <v>0.10726045883940621</v>
      </c>
      <c r="AX61" s="147">
        <v>8.6315789473684207E-2</v>
      </c>
      <c r="AY61" s="147">
        <v>0.50168726367278438</v>
      </c>
      <c r="AZ61" s="162">
        <v>100.61918645663546</v>
      </c>
      <c r="BA61" s="177">
        <v>75.83100684073554</v>
      </c>
      <c r="BB61" s="9"/>
      <c r="BC61" s="150" t="s">
        <v>52</v>
      </c>
      <c r="BD61" s="151">
        <v>0.28846628797233886</v>
      </c>
      <c r="BE61" s="151">
        <v>0.4445166682143189</v>
      </c>
      <c r="BF61" s="151">
        <v>0.37454938716654651</v>
      </c>
      <c r="BG61" s="151">
        <v>0.59225554833317862</v>
      </c>
      <c r="BH61" s="151">
        <v>0.80553337643063316</v>
      </c>
      <c r="BI61" s="151">
        <v>9.1497806559431794E-2</v>
      </c>
      <c r="BJ61" s="151">
        <v>2.9663672446208482E-2</v>
      </c>
      <c r="BK61" s="151">
        <v>0.14012443123781224</v>
      </c>
      <c r="BL61" s="151">
        <v>6.5001392886990431E-2</v>
      </c>
      <c r="BM61" s="151">
        <v>0.55144481137180534</v>
      </c>
      <c r="BN61" s="165">
        <v>109.08898345634132</v>
      </c>
      <c r="BO61" s="168">
        <v>331.71282176930032</v>
      </c>
      <c r="BP61" s="9"/>
    </row>
    <row r="62" spans="1:68" x14ac:dyDescent="0.2">
      <c r="A62" s="9"/>
      <c r="B62" s="3">
        <v>1975</v>
      </c>
      <c r="C62" s="51" t="s">
        <v>157</v>
      </c>
      <c r="D62" s="26">
        <v>0.754</v>
      </c>
      <c r="E62" s="71">
        <f>(T62-W62)/(R62-W62-Z62+AD62)</f>
        <v>0.26428920371275039</v>
      </c>
      <c r="F62" s="71">
        <f>AA62/Q62</f>
        <v>0.45588235294117646</v>
      </c>
      <c r="G62" s="71">
        <f>(U62+V62+W62)/T62</f>
        <v>0.43004824259131635</v>
      </c>
      <c r="H62" s="71">
        <f>(AA62+X62)/Q62</f>
        <v>0.61812659846547313</v>
      </c>
      <c r="I62" s="71">
        <f>(AA62/R62)+((T62+Y62+AB62)/(R62+Y62+AB62+AD62))</f>
        <v>0.949595117068185</v>
      </c>
      <c r="J62" s="71">
        <f>W62/AA62</f>
        <v>0.12938288920056101</v>
      </c>
      <c r="K62" s="71">
        <f>(AC62+AD62)/AA62</f>
        <v>1.788218793828892E-2</v>
      </c>
      <c r="L62" s="71">
        <f>Z62/Q62</f>
        <v>0.11972506393861893</v>
      </c>
      <c r="M62" s="71">
        <f>(Y62+AB62)/Q62</f>
        <v>0.16544117647058823</v>
      </c>
      <c r="N62" s="57">
        <f>(E62*0.7635+F62*0.7562+G62*0.75+H62*0.7248+I62*0.7021+J62*0.6285+1-K62*0.5884+1-L62*0.5276+M62*0.3663)/6.931</f>
        <v>0.58462235467038837</v>
      </c>
      <c r="O62" s="64">
        <f>N62/0.5021*100</f>
        <v>116.43544207735279</v>
      </c>
      <c r="P62" s="155">
        <f>(O62-100)/100*Q62*0.3389</f>
        <v>348.45740578012959</v>
      </c>
      <c r="Q62" s="54">
        <v>6256</v>
      </c>
      <c r="R62" s="21">
        <f>Q62-Y62-AB62-AC62-AD62</f>
        <v>5170</v>
      </c>
      <c r="S62" s="20" t="s">
        <v>19</v>
      </c>
      <c r="T62" s="19">
        <v>1451</v>
      </c>
      <c r="U62" s="19">
        <v>216</v>
      </c>
      <c r="V62" s="19">
        <v>39</v>
      </c>
      <c r="W62" s="19">
        <v>369</v>
      </c>
      <c r="X62" s="19">
        <v>1015</v>
      </c>
      <c r="Y62" s="54">
        <v>1011</v>
      </c>
      <c r="Z62" s="19">
        <v>749</v>
      </c>
      <c r="AA62" s="54">
        <f>T62+U62+V62*2+W62*3</f>
        <v>2852</v>
      </c>
      <c r="AB62" s="19">
        <v>24</v>
      </c>
      <c r="AC62" s="19">
        <v>9</v>
      </c>
      <c r="AD62" s="21">
        <v>42</v>
      </c>
      <c r="AE62" s="9"/>
      <c r="AF62" s="6">
        <v>1961</v>
      </c>
      <c r="AG62" s="77">
        <v>3.6270564725849282E-2</v>
      </c>
      <c r="AH62" s="85">
        <v>0.50873212781533794</v>
      </c>
      <c r="AI62" s="86">
        <v>0.49457694453486561</v>
      </c>
      <c r="AJ62" s="76">
        <v>6.8800014599472593E-3</v>
      </c>
      <c r="AK62" s="41">
        <v>5.2300000000000003E-3</v>
      </c>
      <c r="AL62" s="42">
        <v>1.1907694834524103E-2</v>
      </c>
      <c r="AM62" s="78">
        <v>6.94E-3</v>
      </c>
      <c r="AN62" s="9"/>
      <c r="AO62" s="146" t="s">
        <v>235</v>
      </c>
      <c r="AP62" s="147">
        <v>0.27725820505373222</v>
      </c>
      <c r="AQ62" s="147">
        <v>0.31802455092658422</v>
      </c>
      <c r="AR62" s="147">
        <v>0.23635625887603975</v>
      </c>
      <c r="AS62" s="147">
        <v>0.43556566661927104</v>
      </c>
      <c r="AT62" s="147">
        <v>0.65815172153429302</v>
      </c>
      <c r="AU62" s="147">
        <v>2.324888226527571E-2</v>
      </c>
      <c r="AV62" s="147">
        <v>9.1952309985096875E-2</v>
      </c>
      <c r="AW62" s="147">
        <v>8.9151144604009663E-2</v>
      </c>
      <c r="AX62" s="147">
        <v>6.640125124413479E-2</v>
      </c>
      <c r="AY62" s="147">
        <v>0.51093023710451235</v>
      </c>
      <c r="AZ62" s="162">
        <v>100.53723673839283</v>
      </c>
      <c r="BA62" s="177">
        <v>74.936729163489659</v>
      </c>
      <c r="BB62" s="9"/>
      <c r="BC62" s="150" t="s">
        <v>230</v>
      </c>
      <c r="BD62" s="151">
        <v>0.33860724233983286</v>
      </c>
      <c r="BE62" s="151">
        <v>0.41590043651899322</v>
      </c>
      <c r="BF62" s="151">
        <v>0.28838832487309646</v>
      </c>
      <c r="BG62" s="151">
        <v>0.53747561994984672</v>
      </c>
      <c r="BH62" s="151">
        <v>0.88143175761342984</v>
      </c>
      <c r="BI62" s="151">
        <v>2.523447967842787E-2</v>
      </c>
      <c r="BJ62" s="151">
        <v>5.7168378740509153E-2</v>
      </c>
      <c r="BK62" s="151">
        <v>3.4921519457601934E-2</v>
      </c>
      <c r="BL62" s="151">
        <v>0.10485743475434198</v>
      </c>
      <c r="BM62" s="151">
        <v>0.54825335893069493</v>
      </c>
      <c r="BN62" s="165">
        <v>109.04004752002683</v>
      </c>
      <c r="BO62" s="168">
        <v>329.86557549550884</v>
      </c>
      <c r="BP62" s="9"/>
    </row>
    <row r="63" spans="1:68" x14ac:dyDescent="0.2">
      <c r="A63" s="9"/>
      <c r="B63" s="3">
        <v>1975</v>
      </c>
      <c r="C63" s="51" t="s">
        <v>158</v>
      </c>
      <c r="D63" s="26" t="s">
        <v>19</v>
      </c>
      <c r="E63" s="71">
        <f>(T63-W63)/(R63-W63-Z63+AD63)</f>
        <v>0.31786542923433875</v>
      </c>
      <c r="F63" s="71">
        <f>AA63/Q63</f>
        <v>0.46946406314914829</v>
      </c>
      <c r="G63" s="71">
        <f>(U63+V63+W63)/T63</f>
        <v>0.37989103516592371</v>
      </c>
      <c r="H63" s="71">
        <f>(AA63+X63)/Q63</f>
        <v>0.63066057332779391</v>
      </c>
      <c r="I63" s="71">
        <f>(AA63/R63)+((T63+Y63+AB63)/(R63+Y63+AB63+AD63))</f>
        <v>0.93220139048388506</v>
      </c>
      <c r="J63" s="71">
        <f>W63/AA63</f>
        <v>7.0206489675516223E-2</v>
      </c>
      <c r="K63" s="71">
        <f>(AC63+AD63)/AA63</f>
        <v>3.2743362831858407E-2</v>
      </c>
      <c r="L63" s="71">
        <f>Z63/Q63</f>
        <v>7.1735216728984905E-2</v>
      </c>
      <c r="M63" s="71">
        <f>(Y63+AB63)/Q63</f>
        <v>0.11175737432488575</v>
      </c>
      <c r="N63" s="57">
        <f>(E63*0.7635+F63*0.7562+G63*0.75+H63*0.7248+I63*0.7021+J63*0.6285+1-K63*0.5884+1-L63*0.5276+M63*0.3663)/6.931</f>
        <v>0.58031545893734759</v>
      </c>
      <c r="O63" s="64">
        <f>N63/0.5082*100</f>
        <v>114.19036972399599</v>
      </c>
      <c r="P63" s="155">
        <f>(O63-100)/100*Q63*0.3389</f>
        <v>347.26628798416829</v>
      </c>
      <c r="Q63" s="54">
        <v>7221</v>
      </c>
      <c r="R63" s="21">
        <f>Q63-Y63-AB63-AC63-AD63</f>
        <v>6303</v>
      </c>
      <c r="S63" s="20" t="s">
        <v>19</v>
      </c>
      <c r="T63" s="19">
        <v>2019</v>
      </c>
      <c r="U63" s="19">
        <v>401</v>
      </c>
      <c r="V63" s="19">
        <v>128</v>
      </c>
      <c r="W63" s="19">
        <v>238</v>
      </c>
      <c r="X63" s="19">
        <v>1164</v>
      </c>
      <c r="Y63" s="54">
        <v>774</v>
      </c>
      <c r="Z63" s="19">
        <v>518</v>
      </c>
      <c r="AA63" s="54">
        <f>T63+U63+V63*2+W63*3</f>
        <v>3390</v>
      </c>
      <c r="AB63" s="19">
        <v>33</v>
      </c>
      <c r="AC63" s="19">
        <v>55</v>
      </c>
      <c r="AD63" s="21">
        <v>56</v>
      </c>
      <c r="AE63" s="9"/>
      <c r="AF63" s="6">
        <v>1960</v>
      </c>
      <c r="AG63" s="77">
        <v>3.6302655725947645E-2</v>
      </c>
      <c r="AH63" s="85">
        <v>0.50264650884908413</v>
      </c>
      <c r="AI63" s="86">
        <v>0.49838787921638944</v>
      </c>
      <c r="AJ63" s="76">
        <v>6.9399033897947562E-3</v>
      </c>
      <c r="AK63" s="41">
        <v>5.1500000000000001E-3</v>
      </c>
      <c r="AL63" s="42">
        <v>1.258253000611724E-2</v>
      </c>
      <c r="AM63" s="78">
        <v>7.3000000000000001E-3</v>
      </c>
      <c r="AN63" s="9"/>
      <c r="AO63" s="146" t="s">
        <v>186</v>
      </c>
      <c r="AP63" s="147">
        <v>0.29050772626931565</v>
      </c>
      <c r="AQ63" s="147">
        <v>0.34781332550631056</v>
      </c>
      <c r="AR63" s="147">
        <v>0.23617945007235891</v>
      </c>
      <c r="AS63" s="147">
        <v>0.46191664220722045</v>
      </c>
      <c r="AT63" s="147">
        <v>0.71054567235658794</v>
      </c>
      <c r="AU63" s="147">
        <v>3.4810126582278479E-2</v>
      </c>
      <c r="AV63" s="147">
        <v>7.1518987341772158E-2</v>
      </c>
      <c r="AW63" s="147">
        <v>7.1837393601408867E-2</v>
      </c>
      <c r="AX63" s="147">
        <v>6.8021719988259469E-2</v>
      </c>
      <c r="AY63" s="147">
        <v>0.50032198123285354</v>
      </c>
      <c r="AZ63" s="162">
        <v>100.76978473974896</v>
      </c>
      <c r="BA63" s="177">
        <v>69.353531350538262</v>
      </c>
      <c r="BB63" s="9"/>
      <c r="BC63" s="150" t="s">
        <v>115</v>
      </c>
      <c r="BD63" s="151">
        <v>0.27259283601708839</v>
      </c>
      <c r="BE63" s="151">
        <v>0.42010606409960805</v>
      </c>
      <c r="BF63" s="151">
        <v>0.3876953125</v>
      </c>
      <c r="BG63" s="151">
        <v>0.5787410652524787</v>
      </c>
      <c r="BH63" s="151">
        <v>0.81698392890070581</v>
      </c>
      <c r="BI63" s="151">
        <v>0.10675082327113063</v>
      </c>
      <c r="BJ63" s="151">
        <v>2.7716794731064764E-2</v>
      </c>
      <c r="BK63" s="151">
        <v>0.14733686880332028</v>
      </c>
      <c r="BL63" s="151">
        <v>0.10491122896011068</v>
      </c>
      <c r="BM63" s="151">
        <v>0.55131072608800402</v>
      </c>
      <c r="BN63" s="165">
        <v>111.19619324082373</v>
      </c>
      <c r="BO63" s="168">
        <v>329.12537899919721</v>
      </c>
      <c r="BP63" s="9"/>
    </row>
    <row r="64" spans="1:68" x14ac:dyDescent="0.2">
      <c r="A64" s="9"/>
      <c r="B64" s="3">
        <v>1981</v>
      </c>
      <c r="C64" s="106" t="s">
        <v>139</v>
      </c>
      <c r="D64" s="98">
        <v>0.84</v>
      </c>
      <c r="E64" s="99">
        <f>(T64-W64)/(R64-W64-Z64+AD64)</f>
        <v>0.27266985473247318</v>
      </c>
      <c r="F64" s="99">
        <f>AA64/Q64</f>
        <v>0.29086269139798332</v>
      </c>
      <c r="G64" s="99">
        <f>(U64+V64+W64)/T64</f>
        <v>0.24306190911863373</v>
      </c>
      <c r="H64" s="99">
        <f>(AA64+S64)/Q64</f>
        <v>0.37924810158097844</v>
      </c>
      <c r="I64" s="99">
        <f>(AA64/R64)+((T64+Y64+AB64)/(R64+Y64+AB64+AD64))</f>
        <v>0.62210984468958452</v>
      </c>
      <c r="J64" s="99">
        <f>W64/AA64</f>
        <v>5.4996790070618445E-2</v>
      </c>
      <c r="K64" s="99">
        <f>(AC64+AD64)/AA64</f>
        <v>5.6708752407447036E-2</v>
      </c>
      <c r="L64" s="99">
        <f>Z64/Q64</f>
        <v>0.19401219967633512</v>
      </c>
      <c r="M64" s="99">
        <f>(Y64+AB64)/Q64</f>
        <v>8.9505788621934521E-2</v>
      </c>
      <c r="N64" s="100">
        <f>(1-E64*0.7635+1-F64*0.7562+1-G64*0.75+1-H64*0.7248+1-I64*0.7021+1-J64*0.6285+K64*0.5884+L64*0.5276+1-M64*0.3663)/11.068</f>
        <v>0.51917999949307503</v>
      </c>
      <c r="O64" s="101">
        <f>N64/0.5029*100</f>
        <v>103.23722399941838</v>
      </c>
      <c r="P64" s="102">
        <f>(O64-100)/100*Q64*0.6611</f>
        <v>343.8330907612484</v>
      </c>
      <c r="Q64" s="54">
        <v>16066</v>
      </c>
      <c r="R64" s="54">
        <f>Q64-Y64-AB64-AC64-AD64</f>
        <v>14363</v>
      </c>
      <c r="S64" s="19">
        <v>1420</v>
      </c>
      <c r="T64" s="19">
        <v>3279</v>
      </c>
      <c r="U64" s="19">
        <v>457</v>
      </c>
      <c r="V64" s="19">
        <v>83</v>
      </c>
      <c r="W64" s="19">
        <v>257</v>
      </c>
      <c r="X64" s="19" t="s">
        <v>19</v>
      </c>
      <c r="Y64" s="54">
        <v>1336</v>
      </c>
      <c r="Z64" s="19">
        <v>3117</v>
      </c>
      <c r="AA64" s="54">
        <f>T64+U64+V64*2+W64*3</f>
        <v>4673</v>
      </c>
      <c r="AB64" s="19">
        <v>102</v>
      </c>
      <c r="AC64" s="19">
        <v>171</v>
      </c>
      <c r="AD64" s="19">
        <v>94</v>
      </c>
      <c r="AE64" s="9"/>
      <c r="AF64" s="6">
        <v>1959</v>
      </c>
      <c r="AG64" s="77">
        <v>3.6704412338930105E-2</v>
      </c>
      <c r="AH64" s="85">
        <v>0.50533079749134679</v>
      </c>
      <c r="AI64" s="86">
        <v>0.49670692470071154</v>
      </c>
      <c r="AJ64" s="76">
        <v>6.2370062370062374E-3</v>
      </c>
      <c r="AK64" s="41">
        <v>5.2300000000000003E-3</v>
      </c>
      <c r="AL64" s="42">
        <v>1.1893580421499203E-2</v>
      </c>
      <c r="AM64" s="78">
        <v>6.4999999999999997E-3</v>
      </c>
      <c r="AN64" s="9"/>
      <c r="AO64" s="146" t="s">
        <v>203</v>
      </c>
      <c r="AP64" s="147">
        <v>0.2708401545412874</v>
      </c>
      <c r="AQ64" s="147">
        <v>0.31348584560743759</v>
      </c>
      <c r="AR64" s="147">
        <v>0.25611175785797441</v>
      </c>
      <c r="AS64" s="147">
        <v>0.43800271597200457</v>
      </c>
      <c r="AT64" s="147">
        <v>0.64866158563950527</v>
      </c>
      <c r="AU64" s="147">
        <v>2.6491169610129955E-2</v>
      </c>
      <c r="AV64" s="147">
        <v>8.9636787737420856E-2</v>
      </c>
      <c r="AW64" s="147">
        <v>0.10331139663637313</v>
      </c>
      <c r="AX64" s="147">
        <v>7.04585814269299E-2</v>
      </c>
      <c r="AY64" s="147">
        <v>0.51102030715985669</v>
      </c>
      <c r="AZ64" s="162">
        <v>100.51540266716302</v>
      </c>
      <c r="BA64" s="177">
        <v>65.236683366441071</v>
      </c>
      <c r="BB64" s="9"/>
      <c r="BC64" s="150" t="s">
        <v>259</v>
      </c>
      <c r="BD64" s="151">
        <v>0.3279460422499364</v>
      </c>
      <c r="BE64" s="151">
        <v>0.39670790985417587</v>
      </c>
      <c r="BF64" s="151">
        <v>0.2572944297082228</v>
      </c>
      <c r="BG64" s="151">
        <v>0.53015908086610697</v>
      </c>
      <c r="BH64" s="151">
        <v>0.80079193010243155</v>
      </c>
      <c r="BI64" s="151">
        <v>1.7265385686438317E-2</v>
      </c>
      <c r="BJ64" s="151">
        <v>7.1846282372598158E-2</v>
      </c>
      <c r="BK64" s="151">
        <v>3.9991162174105171E-2</v>
      </c>
      <c r="BL64" s="151">
        <v>6.4405656208572692E-2</v>
      </c>
      <c r="BM64" s="151">
        <v>0.52819403548830246</v>
      </c>
      <c r="BN64" s="165">
        <v>110.59339101513869</v>
      </c>
      <c r="BO64" s="168">
        <v>324.97587146456107</v>
      </c>
      <c r="BP64" s="9"/>
    </row>
    <row r="65" spans="1:68" x14ac:dyDescent="0.2">
      <c r="A65" s="9"/>
      <c r="B65" s="3">
        <v>1971</v>
      </c>
      <c r="C65" s="51" t="s">
        <v>178</v>
      </c>
      <c r="D65" s="26" t="s">
        <v>19</v>
      </c>
      <c r="E65" s="71">
        <f>(T65-W65)/(R65-W65-Z65+AD65)</f>
        <v>0.32131184492279952</v>
      </c>
      <c r="F65" s="71">
        <f>AA65/Q65</f>
        <v>0.39551245483932307</v>
      </c>
      <c r="G65" s="71">
        <f>(U65+V65+W65)/T65</f>
        <v>0.27365554799183117</v>
      </c>
      <c r="H65" s="71">
        <f>(AA65+X65)/Q65</f>
        <v>0.54582620270013316</v>
      </c>
      <c r="I65" s="71">
        <f>(AA65/R65)+((T65+Y65+AB65)/(R65+Y65+AB65+AD65))</f>
        <v>0.80585079308425955</v>
      </c>
      <c r="J65" s="71">
        <f>W65/AA65</f>
        <v>2.0913461538461537E-2</v>
      </c>
      <c r="K65" s="71">
        <f>(AC65+AD65)/AA65</f>
        <v>7.6442307692307698E-2</v>
      </c>
      <c r="L65" s="71">
        <f>Z65/Q65</f>
        <v>5.0009507510933637E-2</v>
      </c>
      <c r="M65" s="71">
        <f>(Y65+AB65)/Q65</f>
        <v>7.5965012359764217E-2</v>
      </c>
      <c r="N65" s="57">
        <f>(E65*0.7635+F65*0.7562+G65*0.75+H65*0.7248+I65*0.7021+J65*0.6285+1-K65*0.5884+1-L65*0.5276+M65*0.3663)/6.931</f>
        <v>0.53104297663812206</v>
      </c>
      <c r="O65" s="64">
        <f>N65/0.4844*100</f>
        <v>109.62902077583033</v>
      </c>
      <c r="P65" s="155">
        <f>(O65-100)/100*Q65*0.3389</f>
        <v>343.23127932290146</v>
      </c>
      <c r="Q65" s="54">
        <v>10518</v>
      </c>
      <c r="R65" s="21">
        <f>Q65-Y65-AB65-AC65-AD65</f>
        <v>9401</v>
      </c>
      <c r="S65" s="20" t="s">
        <v>19</v>
      </c>
      <c r="T65" s="19">
        <v>2938</v>
      </c>
      <c r="U65" s="19">
        <v>473</v>
      </c>
      <c r="V65" s="19">
        <v>244</v>
      </c>
      <c r="W65" s="19">
        <v>87</v>
      </c>
      <c r="X65" s="19">
        <v>1581</v>
      </c>
      <c r="Y65" s="54">
        <v>616</v>
      </c>
      <c r="Z65" s="19">
        <v>526</v>
      </c>
      <c r="AA65" s="54">
        <f>T65+U65+V65*2+W65*3</f>
        <v>4160</v>
      </c>
      <c r="AB65" s="19">
        <v>183</v>
      </c>
      <c r="AC65" s="21">
        <v>233</v>
      </c>
      <c r="AD65" s="21">
        <v>85</v>
      </c>
      <c r="AE65" s="9"/>
      <c r="AF65" s="6">
        <v>1958</v>
      </c>
      <c r="AG65" s="77">
        <v>3.6019963895083357E-2</v>
      </c>
      <c r="AH65" s="85">
        <v>0.50615815645164663</v>
      </c>
      <c r="AI65" s="86">
        <v>0.49618881619385957</v>
      </c>
      <c r="AJ65" s="76">
        <v>6.955505999787618E-3</v>
      </c>
      <c r="AK65" s="41">
        <v>5.3E-3</v>
      </c>
      <c r="AL65" s="42">
        <v>1.1107571413401296E-2</v>
      </c>
      <c r="AM65" s="78">
        <v>6.8399999999999997E-3</v>
      </c>
      <c r="AN65" s="9"/>
      <c r="AO65" s="146" t="s">
        <v>217</v>
      </c>
      <c r="AP65" s="147">
        <v>0.2830889670271346</v>
      </c>
      <c r="AQ65" s="147">
        <v>0.34836571942042011</v>
      </c>
      <c r="AR65" s="147">
        <v>0.24927600801960348</v>
      </c>
      <c r="AS65" s="147">
        <v>0.46383241603953723</v>
      </c>
      <c r="AT65" s="147">
        <v>0.70414480759941589</v>
      </c>
      <c r="AU65" s="147">
        <v>3.5789134289859748E-2</v>
      </c>
      <c r="AV65" s="147">
        <v>6.8192809930678708E-2</v>
      </c>
      <c r="AW65" s="147">
        <v>6.026058631921824E-2</v>
      </c>
      <c r="AX65" s="147">
        <v>6.4697293047287427E-2</v>
      </c>
      <c r="AY65" s="147">
        <v>0.49951487634931202</v>
      </c>
      <c r="AZ65" s="162">
        <v>100.50601133788975</v>
      </c>
      <c r="BA65" s="177">
        <v>59.565360440974843</v>
      </c>
      <c r="BB65" s="9"/>
      <c r="BC65" s="150" t="s">
        <v>86</v>
      </c>
      <c r="BD65" s="151">
        <v>0.34844279987665744</v>
      </c>
      <c r="BE65" s="151">
        <v>0.5430974071478627</v>
      </c>
      <c r="BF65" s="151">
        <v>0.39893617021276595</v>
      </c>
      <c r="BG65" s="151">
        <v>0.77598691894417193</v>
      </c>
      <c r="BH65" s="151">
        <v>1.0394084992240953</v>
      </c>
      <c r="BI65" s="151">
        <v>0.08</v>
      </c>
      <c r="BJ65" s="151">
        <v>4.3010752688172046E-2</v>
      </c>
      <c r="BK65" s="151">
        <v>7.9887876664330768E-2</v>
      </c>
      <c r="BL65" s="151">
        <v>0.10348049521139921</v>
      </c>
      <c r="BM65" s="151">
        <v>0.61879397281672244</v>
      </c>
      <c r="BN65" s="165">
        <v>122.0019662493538</v>
      </c>
      <c r="BO65" s="168">
        <v>319.21132495319597</v>
      </c>
      <c r="BP65" s="9"/>
    </row>
    <row r="66" spans="1:68" x14ac:dyDescent="0.2">
      <c r="A66" s="9"/>
      <c r="B66" s="3">
        <v>1947</v>
      </c>
      <c r="C66" s="106" t="s">
        <v>240</v>
      </c>
      <c r="D66" s="98">
        <v>0.76400000000000001</v>
      </c>
      <c r="E66" s="99">
        <f>(T66-W66)/(R66-W66-Z66+AD66)</f>
        <v>0.28953981466938905</v>
      </c>
      <c r="F66" s="99">
        <f>AA66/Q66</f>
        <v>0.31795211165924681</v>
      </c>
      <c r="G66" s="99">
        <f>(U66+V66+W66)/T66</f>
        <v>0.25071447129124447</v>
      </c>
      <c r="H66" s="99">
        <f>(AA66+S66)/Q66</f>
        <v>0.41384911562988808</v>
      </c>
      <c r="I66" s="99">
        <f>(AA66/R66)+((T66+Y66+AB66)/(R66+Y66+AB66+AD66))</f>
        <v>0.66134067804757957</v>
      </c>
      <c r="J66" s="99">
        <f>W66/AA66</f>
        <v>3.0652790917691582E-2</v>
      </c>
      <c r="K66" s="99">
        <f>(AC66+AD66)/AA66</f>
        <v>6.7928098391674546E-2</v>
      </c>
      <c r="L66" s="99">
        <f>Z66/Q66</f>
        <v>0.1363253519432078</v>
      </c>
      <c r="M66" s="99">
        <f>(Y66+AB66)/Q66</f>
        <v>7.3938154253399113E-2</v>
      </c>
      <c r="N66" s="100">
        <f>(1-E66*0.7635+1-F66*0.7562+1-G66*0.75+1-H66*0.7248+1-I66*0.7021+1-J66*0.6285+K66*0.5884+L66*0.5276+1-M66*0.3663)/11.068</f>
        <v>0.5106365473358444</v>
      </c>
      <c r="O66" s="101">
        <f>N66/0.4955*100</f>
        <v>103.0548026913914</v>
      </c>
      <c r="P66" s="102">
        <f>(O66-100)/100*Q66*0.6611</f>
        <v>335.68628645333138</v>
      </c>
      <c r="Q66" s="54">
        <v>16622</v>
      </c>
      <c r="R66" s="21">
        <f>Q66-Y66-AB66-AC66-AD66</f>
        <v>15034</v>
      </c>
      <c r="S66" s="19">
        <v>1594</v>
      </c>
      <c r="T66" s="19">
        <v>3849</v>
      </c>
      <c r="U66" s="19">
        <v>656</v>
      </c>
      <c r="V66" s="19">
        <v>147</v>
      </c>
      <c r="W66" s="19">
        <v>162</v>
      </c>
      <c r="X66" s="19" t="s">
        <v>19</v>
      </c>
      <c r="Y66" s="54">
        <v>1187</v>
      </c>
      <c r="Z66" s="19">
        <v>2266</v>
      </c>
      <c r="AA66" s="54">
        <f>T66+U66+V66*2+W66*3</f>
        <v>5285</v>
      </c>
      <c r="AB66" s="19">
        <v>42</v>
      </c>
      <c r="AC66" s="19">
        <v>231</v>
      </c>
      <c r="AD66" s="21">
        <v>128</v>
      </c>
      <c r="AE66" s="9"/>
      <c r="AF66" s="6">
        <v>1957</v>
      </c>
      <c r="AG66" s="77">
        <v>3.5589277105908493E-2</v>
      </c>
      <c r="AH66" s="85">
        <v>0.50438378455612631</v>
      </c>
      <c r="AI66" s="86">
        <v>0.49729996288773848</v>
      </c>
      <c r="AJ66" s="76">
        <v>7.0424011234306557E-3</v>
      </c>
      <c r="AK66" s="41">
        <v>5.3600000000000002E-3</v>
      </c>
      <c r="AL66" s="42">
        <v>1.168493638783509E-2</v>
      </c>
      <c r="AM66" s="78">
        <v>7.1999999999999998E-3</v>
      </c>
      <c r="AN66" s="9"/>
      <c r="AO66" s="146" t="s">
        <v>99</v>
      </c>
      <c r="AP66" s="147">
        <v>0.27696344553022079</v>
      </c>
      <c r="AQ66" s="147">
        <v>0.33903298110790908</v>
      </c>
      <c r="AR66" s="147">
        <v>0.29769880570929219</v>
      </c>
      <c r="AS66" s="147">
        <v>0.43682356708293307</v>
      </c>
      <c r="AT66" s="147">
        <v>0.6703102623774253</v>
      </c>
      <c r="AU66" s="147">
        <v>7.0268228182848502E-2</v>
      </c>
      <c r="AV66" s="147">
        <v>4.8167737060823571E-2</v>
      </c>
      <c r="AW66" s="147">
        <v>0.18283701569004163</v>
      </c>
      <c r="AX66" s="147">
        <v>7.428754402817804E-2</v>
      </c>
      <c r="AY66" s="147">
        <v>0.50371201710148339</v>
      </c>
      <c r="AZ66" s="162">
        <v>100.56139291305317</v>
      </c>
      <c r="BA66" s="177">
        <v>57.953019880057099</v>
      </c>
      <c r="BB66" s="9"/>
      <c r="BC66" s="150" t="s">
        <v>49</v>
      </c>
      <c r="BD66" s="151">
        <v>0.29177475965206773</v>
      </c>
      <c r="BE66" s="151">
        <v>0.40214962221985739</v>
      </c>
      <c r="BF66" s="151">
        <v>0.34338952972493347</v>
      </c>
      <c r="BG66" s="151">
        <v>0.54379057145897625</v>
      </c>
      <c r="BH66" s="151">
        <v>0.82634143389994597</v>
      </c>
      <c r="BI66" s="151">
        <v>9.0500132310134956E-2</v>
      </c>
      <c r="BJ66" s="151">
        <v>2.8314368880656259E-2</v>
      </c>
      <c r="BK66" s="151">
        <v>0.14291795253804407</v>
      </c>
      <c r="BL66" s="151">
        <v>0.12195381504735554</v>
      </c>
      <c r="BM66" s="151">
        <v>0.54367606070489738</v>
      </c>
      <c r="BN66" s="165">
        <v>109.87794274553302</v>
      </c>
      <c r="BO66" s="168">
        <v>314.57724182345333</v>
      </c>
      <c r="BP66" s="9"/>
    </row>
    <row r="67" spans="1:68" x14ac:dyDescent="0.2">
      <c r="A67" s="9"/>
      <c r="B67" s="3">
        <v>1949</v>
      </c>
      <c r="C67" s="51" t="s">
        <v>233</v>
      </c>
      <c r="D67" s="26">
        <v>0.85</v>
      </c>
      <c r="E67" s="71">
        <f>(T67-W67)/(R67-W67-Z67+AD67)</f>
        <v>0.31941770933589991</v>
      </c>
      <c r="F67" s="71">
        <f>AA67/Q67</f>
        <v>0.41551976573938504</v>
      </c>
      <c r="G67" s="71">
        <f>(U67+V67+W67)/T67</f>
        <v>0.31842197957027124</v>
      </c>
      <c r="H67" s="71">
        <f>(AA67+X67)/Q67</f>
        <v>0.55480722303562713</v>
      </c>
      <c r="I67" s="71">
        <f>(AA67/R67)+((T67+Y67+AB67)/(R67+Y67+AB67+AD67))</f>
        <v>0.88766106584140703</v>
      </c>
      <c r="J67" s="71">
        <f>W67/AA67</f>
        <v>4.3222926943857175E-2</v>
      </c>
      <c r="K67" s="71">
        <f>(AC67+AD67)/AA67</f>
        <v>5.1679586563307491E-2</v>
      </c>
      <c r="L67" s="71">
        <f>Z67/Q67</f>
        <v>3.6310395314787698E-2</v>
      </c>
      <c r="M67" s="71">
        <f>(Y67+AB67)/Q67</f>
        <v>0.12064421669106881</v>
      </c>
      <c r="N67" s="57">
        <f>(E67*0.7635+F67*0.7562+G67*0.75+H67*0.7248+I67*0.7021+J67*0.6285+1-K67*0.5884+1-L67*0.5276+M67*0.3663)/6.931</f>
        <v>0.55461708484309347</v>
      </c>
      <c r="O67" s="64">
        <f>N67/0.5058*100</f>
        <v>109.65146003224464</v>
      </c>
      <c r="P67" s="155">
        <f>(O67-100)/100*Q67*0.3389</f>
        <v>335.10163601484379</v>
      </c>
      <c r="Q67" s="54">
        <v>10245</v>
      </c>
      <c r="R67" s="21">
        <f>Q67-Y67-AB67-AC67-AD67</f>
        <v>8789</v>
      </c>
      <c r="S67" s="20" t="s">
        <v>19</v>
      </c>
      <c r="T67" s="19">
        <v>2839</v>
      </c>
      <c r="U67" s="19">
        <v>574</v>
      </c>
      <c r="V67" s="19">
        <v>146</v>
      </c>
      <c r="W67" s="19">
        <v>184</v>
      </c>
      <c r="X67" s="19">
        <v>1427</v>
      </c>
      <c r="Y67" s="54">
        <v>1186</v>
      </c>
      <c r="Z67" s="19">
        <v>372</v>
      </c>
      <c r="AA67" s="54">
        <f>T67+U67+V67*2+W67*3</f>
        <v>4257</v>
      </c>
      <c r="AB67" s="19">
        <v>50</v>
      </c>
      <c r="AC67" s="19">
        <v>141</v>
      </c>
      <c r="AD67" s="21">
        <v>79</v>
      </c>
      <c r="AE67" s="9"/>
      <c r="AF67" s="6">
        <v>1956</v>
      </c>
      <c r="AG67" s="77">
        <v>3.5048862670179599E-2</v>
      </c>
      <c r="AH67" s="85">
        <v>0.50786400474976801</v>
      </c>
      <c r="AI67" s="86">
        <v>0.49512058032881812</v>
      </c>
      <c r="AJ67" s="76">
        <v>7.6101903072417522E-3</v>
      </c>
      <c r="AK67" s="41">
        <v>5.0499999999999998E-3</v>
      </c>
      <c r="AL67" s="42">
        <v>1.3152508213757125E-2</v>
      </c>
      <c r="AM67" s="78">
        <v>6.7600000000000004E-3</v>
      </c>
      <c r="AN67" s="9"/>
      <c r="AO67" s="146" t="s">
        <v>227</v>
      </c>
      <c r="AP67" s="147">
        <v>0.29012139436462858</v>
      </c>
      <c r="AQ67" s="147">
        <v>0.28720275607091839</v>
      </c>
      <c r="AR67" s="147">
        <v>0.20982986767485823</v>
      </c>
      <c r="AS67" s="147">
        <v>0.38030417611965384</v>
      </c>
      <c r="AT67" s="147">
        <v>0.621058029065364</v>
      </c>
      <c r="AU67" s="147">
        <v>1.1702750146284377E-2</v>
      </c>
      <c r="AV67" s="147">
        <v>0.13253364540667056</v>
      </c>
      <c r="AW67" s="147">
        <v>0.14376943114024032</v>
      </c>
      <c r="AX67" s="147">
        <v>6.8397613645912111E-2</v>
      </c>
      <c r="AY67" s="147">
        <v>0.5252687211717344</v>
      </c>
      <c r="AZ67" s="162">
        <v>100.664760669171</v>
      </c>
      <c r="BA67" s="177">
        <v>52.301714861068895</v>
      </c>
      <c r="BB67" s="9"/>
      <c r="BC67" s="150" t="s">
        <v>25</v>
      </c>
      <c r="BD67" s="151">
        <v>0.33523611831862998</v>
      </c>
      <c r="BE67" s="151">
        <v>0.42863730689416646</v>
      </c>
      <c r="BF67" s="151">
        <v>0.37294170004450378</v>
      </c>
      <c r="BG67" s="151">
        <v>0.57401429559603412</v>
      </c>
      <c r="BH67" s="151">
        <v>0.93302076314541682</v>
      </c>
      <c r="BI67" s="151">
        <v>8.3109198493813874E-2</v>
      </c>
      <c r="BJ67" s="151">
        <v>2.3399677245831092E-2</v>
      </c>
      <c r="BK67" s="151">
        <v>0.13857505187917915</v>
      </c>
      <c r="BL67" s="151">
        <v>0.15817385289370534</v>
      </c>
      <c r="BM67" s="151">
        <v>0.57051026809996364</v>
      </c>
      <c r="BN67" s="165">
        <v>110.64978046934905</v>
      </c>
      <c r="BO67" s="168">
        <v>313.06292753615202</v>
      </c>
      <c r="BP67" s="9"/>
    </row>
    <row r="68" spans="1:68" x14ac:dyDescent="0.2">
      <c r="A68" s="9"/>
      <c r="B68" s="3">
        <v>1973</v>
      </c>
      <c r="C68" s="51" t="s">
        <v>167</v>
      </c>
      <c r="D68" s="26" t="s">
        <v>19</v>
      </c>
      <c r="E68" s="71">
        <f>(T68-W68)/(R68-W68-Z68+AD68)</f>
        <v>0.34285714285714286</v>
      </c>
      <c r="F68" s="71">
        <f>AA68/Q68</f>
        <v>0.43987465726596159</v>
      </c>
      <c r="G68" s="71">
        <f>(U68+V68+W68)/T68</f>
        <v>0.28199999999999997</v>
      </c>
      <c r="H68" s="71">
        <f>(AA68+X68)/Q68</f>
        <v>0.56766549157853508</v>
      </c>
      <c r="I68" s="71">
        <f>(AA68/R68)+((T68+Y68+AB68)/(R68+Y68+AB68+AD68))</f>
        <v>0.83441952625955795</v>
      </c>
      <c r="J68" s="71">
        <f>W68/AA68</f>
        <v>5.3428317008014245E-2</v>
      </c>
      <c r="K68" s="71">
        <f>(AC68+AD68)/AA68</f>
        <v>2.2707034728406055E-2</v>
      </c>
      <c r="L68" s="71">
        <f>Z68/Q68</f>
        <v>0.12044653349001175</v>
      </c>
      <c r="M68" s="71">
        <f>(Y68+AB68)/Q68</f>
        <v>6.4238151194672938E-2</v>
      </c>
      <c r="N68" s="57">
        <f>(E68*0.7635+F68*0.7562+G68*0.75+H68*0.7248+I68*0.7021+J68*0.6285+1-K68*0.5884+1-L68*0.5276+M68*0.3663)/6.931</f>
        <v>0.54586585828849044</v>
      </c>
      <c r="O68" s="64">
        <f>N68/0.4978*100</f>
        <v>109.65565654650268</v>
      </c>
      <c r="P68" s="155">
        <f>(O68-100)/100*Q68*0.3389</f>
        <v>334.16748060862864</v>
      </c>
      <c r="Q68" s="54">
        <v>10212</v>
      </c>
      <c r="R68" s="54">
        <f>Q68-Y68-AB68-AC68-AD68</f>
        <v>9454</v>
      </c>
      <c r="S68" s="20" t="s">
        <v>19</v>
      </c>
      <c r="T68" s="19">
        <v>3000</v>
      </c>
      <c r="U68" s="19">
        <v>440</v>
      </c>
      <c r="V68" s="19">
        <v>166</v>
      </c>
      <c r="W68" s="19">
        <v>240</v>
      </c>
      <c r="X68" s="19">
        <v>1305</v>
      </c>
      <c r="Y68" s="54">
        <v>621</v>
      </c>
      <c r="Z68" s="19">
        <v>1230</v>
      </c>
      <c r="AA68" s="54">
        <f>T68+U68+V68*2+W68*3</f>
        <v>4492</v>
      </c>
      <c r="AB68" s="19">
        <v>35</v>
      </c>
      <c r="AC68" s="19">
        <v>36</v>
      </c>
      <c r="AD68" s="19">
        <v>66</v>
      </c>
      <c r="AE68" s="9"/>
      <c r="AF68" s="6">
        <v>1955</v>
      </c>
      <c r="AG68" s="77">
        <v>3.4201971531671801E-2</v>
      </c>
      <c r="AH68" s="85">
        <v>0.50637007769148157</v>
      </c>
      <c r="AI68" s="86">
        <v>0.49605610693172575</v>
      </c>
      <c r="AJ68" s="76">
        <v>7.3643125414242583E-3</v>
      </c>
      <c r="AK68" s="41">
        <v>5.3200000000000001E-3</v>
      </c>
      <c r="AL68" s="42">
        <v>1.2487769980957991E-2</v>
      </c>
      <c r="AM68" s="78">
        <v>7.3400000000000002E-3</v>
      </c>
      <c r="AN68" s="9"/>
      <c r="AO68" s="146" t="s">
        <v>75</v>
      </c>
      <c r="AP68" s="147">
        <v>0.27666261151662613</v>
      </c>
      <c r="AQ68" s="147">
        <v>0.35687897147923747</v>
      </c>
      <c r="AR68" s="147">
        <v>0.32152145643693109</v>
      </c>
      <c r="AS68" s="147">
        <v>0.45899216787350378</v>
      </c>
      <c r="AT68" s="147">
        <v>0.67549698982685991</v>
      </c>
      <c r="AU68" s="147">
        <v>7.1842650103519673E-2</v>
      </c>
      <c r="AV68" s="147">
        <v>4.1821946169772257E-2</v>
      </c>
      <c r="AW68" s="147">
        <v>0.17740505393822964</v>
      </c>
      <c r="AX68" s="147">
        <v>6.0070932466380969E-2</v>
      </c>
      <c r="AY68" s="147">
        <v>0.49890323609922399</v>
      </c>
      <c r="AZ68" s="162">
        <v>100.56505464608425</v>
      </c>
      <c r="BA68" s="177">
        <v>50.557289174069055</v>
      </c>
      <c r="BB68" s="9"/>
      <c r="BC68" s="150" t="s">
        <v>164</v>
      </c>
      <c r="BD68" s="151">
        <v>0.31422569027611047</v>
      </c>
      <c r="BE68" s="151">
        <v>0.44711653505623355</v>
      </c>
      <c r="BF68" s="151">
        <v>0.36100302637267617</v>
      </c>
      <c r="BG68" s="151">
        <v>0.61725293132328307</v>
      </c>
      <c r="BH68" s="151">
        <v>0.87360266954221211</v>
      </c>
      <c r="BI68" s="151">
        <v>5.86031576130586E-2</v>
      </c>
      <c r="BJ68" s="151">
        <v>6.5025421461065019E-2</v>
      </c>
      <c r="BK68" s="151">
        <v>7.0710696338837045E-2</v>
      </c>
      <c r="BL68" s="151">
        <v>8.458961474036851E-2</v>
      </c>
      <c r="BM68" s="151">
        <v>0.5629438473649816</v>
      </c>
      <c r="BN68" s="165">
        <v>111.01239348550219</v>
      </c>
      <c r="BO68" s="168">
        <v>311.92893072394259</v>
      </c>
      <c r="BP68" s="9"/>
    </row>
    <row r="69" spans="1:68" x14ac:dyDescent="0.2">
      <c r="A69" s="9"/>
      <c r="B69" s="3">
        <v>2010</v>
      </c>
      <c r="C69" s="51" t="s">
        <v>52</v>
      </c>
      <c r="D69" s="26">
        <v>0.77900000000000003</v>
      </c>
      <c r="E69" s="72">
        <f>(T69-W69)/(R69-W69-Z69+AD69)</f>
        <v>0.28846628797233886</v>
      </c>
      <c r="F69" s="72">
        <f>AA69/Q69</f>
        <v>0.4445166682143189</v>
      </c>
      <c r="G69" s="72">
        <f>(U69+V69+W69)/T69</f>
        <v>0.37454938716654651</v>
      </c>
      <c r="H69" s="72">
        <f>(AA69+X69)/Q69</f>
        <v>0.59225554833317862</v>
      </c>
      <c r="I69" s="72">
        <f>(AA69/R69)+((T69+Y69+AB69)/(R69+Y69+AB69+AD69))</f>
        <v>0.80553337643063316</v>
      </c>
      <c r="J69" s="72">
        <f>W69/AA69</f>
        <v>9.1497806559431794E-2</v>
      </c>
      <c r="K69" s="72">
        <f>(AC69+AD69)/AA69</f>
        <v>2.9663672446208482E-2</v>
      </c>
      <c r="L69" s="72">
        <f>Z69/Q69</f>
        <v>0.14012443123781224</v>
      </c>
      <c r="M69" s="72">
        <f>(Y69+AB69)/Q69</f>
        <v>6.5001392886990431E-2</v>
      </c>
      <c r="N69" s="58">
        <f>(E69*0.7635+F69*0.7562+G69*0.75+H69*0.7248+I69*0.7021+J69*0.6285+1-K69*0.5884+1-L69*0.5276+M69*0.3663)/6.931</f>
        <v>0.55144481137180534</v>
      </c>
      <c r="O69" s="65">
        <f>N69/0.5055*100</f>
        <v>109.08898345634132</v>
      </c>
      <c r="P69" s="155">
        <f>(O69-100)/100*Q69*0.3389</f>
        <v>331.71282176930032</v>
      </c>
      <c r="Q69" s="54">
        <v>10769</v>
      </c>
      <c r="R69" s="54">
        <f>Q69-Y69-AB69-AC69-AD69</f>
        <v>9927</v>
      </c>
      <c r="S69" s="19" t="s">
        <v>19</v>
      </c>
      <c r="T69" s="19">
        <v>2774</v>
      </c>
      <c r="U69" s="19">
        <v>503</v>
      </c>
      <c r="V69" s="19">
        <v>98</v>
      </c>
      <c r="W69" s="19">
        <v>438</v>
      </c>
      <c r="X69" s="19">
        <v>1591</v>
      </c>
      <c r="Y69" s="54">
        <v>589</v>
      </c>
      <c r="Z69" s="19">
        <v>1509</v>
      </c>
      <c r="AA69" s="54">
        <f>T69+U69+V69*2+W69*3</f>
        <v>4787</v>
      </c>
      <c r="AB69" s="19">
        <v>111</v>
      </c>
      <c r="AC69" s="19">
        <v>24</v>
      </c>
      <c r="AD69" s="19">
        <v>118</v>
      </c>
      <c r="AE69" s="9"/>
      <c r="AF69" s="6">
        <v>1954</v>
      </c>
      <c r="AG69" s="77">
        <v>3.6145838782235706E-2</v>
      </c>
      <c r="AH69" s="85">
        <v>0.50396333704975282</v>
      </c>
      <c r="AI69" s="86">
        <v>0.49756325541273611</v>
      </c>
      <c r="AJ69" s="76">
        <v>8.2544332269707584E-3</v>
      </c>
      <c r="AK69" s="41">
        <v>4.6100000000000004E-3</v>
      </c>
      <c r="AL69" s="42">
        <v>1.3935240885076109E-2</v>
      </c>
      <c r="AM69" s="78">
        <v>8.3199999999999993E-3</v>
      </c>
      <c r="AN69" s="9"/>
      <c r="AO69" s="146" t="s">
        <v>33</v>
      </c>
      <c r="AP69" s="147">
        <v>0.27180978446801229</v>
      </c>
      <c r="AQ69" s="147">
        <v>0.34044665012406949</v>
      </c>
      <c r="AR69" s="147">
        <v>0.29492570787776845</v>
      </c>
      <c r="AS69" s="147">
        <v>0.45303970223325063</v>
      </c>
      <c r="AT69" s="147">
        <v>0.69322428014413817</v>
      </c>
      <c r="AU69" s="147">
        <v>7.0881924198250734E-2</v>
      </c>
      <c r="AV69" s="147">
        <v>4.1362973760932946E-2</v>
      </c>
      <c r="AW69" s="147">
        <v>0.15372208436724566</v>
      </c>
      <c r="AX69" s="147">
        <v>8.9826302729528532E-2</v>
      </c>
      <c r="AY69" s="147">
        <v>0.49934462685068048</v>
      </c>
      <c r="AZ69" s="162">
        <v>100.45154432723406</v>
      </c>
      <c r="BA69" s="177">
        <v>48.120771903191304</v>
      </c>
      <c r="BB69" s="9"/>
      <c r="BC69" s="150" t="s">
        <v>39</v>
      </c>
      <c r="BD69" s="151">
        <v>0.31388478581979323</v>
      </c>
      <c r="BE69" s="151">
        <v>0.4865074241446094</v>
      </c>
      <c r="BF69" s="151">
        <v>0.36624353549600375</v>
      </c>
      <c r="BG69" s="151">
        <v>0.65887669464170429</v>
      </c>
      <c r="BH69" s="151">
        <v>0.92171873714110575</v>
      </c>
      <c r="BI69" s="151">
        <v>0.11332271762208068</v>
      </c>
      <c r="BJ69" s="151">
        <v>1.194267515923567E-2</v>
      </c>
      <c r="BK69" s="151">
        <v>0.14370561652679148</v>
      </c>
      <c r="BL69" s="151">
        <v>0.10187217559715946</v>
      </c>
      <c r="BM69" s="151">
        <v>0.58182312883568521</v>
      </c>
      <c r="BN69" s="165">
        <v>111.7171906366523</v>
      </c>
      <c r="BO69" s="168">
        <v>307.5505349786755</v>
      </c>
      <c r="BP69" s="9"/>
    </row>
    <row r="70" spans="1:68" x14ac:dyDescent="0.2">
      <c r="A70" s="9"/>
      <c r="B70" s="3">
        <v>2015</v>
      </c>
      <c r="C70" s="106" t="s">
        <v>42</v>
      </c>
      <c r="D70" s="98">
        <v>0.82899999999999996</v>
      </c>
      <c r="E70" s="99">
        <f>(T70-W70)/(R70-W70-Z70+AD70)</f>
        <v>0.28742391416486124</v>
      </c>
      <c r="F70" s="99">
        <f>AA70/Q70</f>
        <v>0.32772755938616777</v>
      </c>
      <c r="G70" s="99">
        <f>(U70+V70+W70)/T70</f>
        <v>0.31229668184775539</v>
      </c>
      <c r="H70" s="99">
        <f>(AA70+S70)/Q70</f>
        <v>0.42519795389250931</v>
      </c>
      <c r="I70" s="99">
        <f>(AA70/R70)+((T70+Y70+AB70)/(R70+Y70+AB70+AD70))</f>
        <v>0.65340202978874706</v>
      </c>
      <c r="J70" s="99">
        <f>W70/AA70</f>
        <v>6.1577934573444515E-2</v>
      </c>
      <c r="K70" s="99">
        <f>(AC70+AD70)/AA70</f>
        <v>4.8321573658327989E-2</v>
      </c>
      <c r="L70" s="99">
        <f>Z70/Q70</f>
        <v>0.21610258566323312</v>
      </c>
      <c r="M70" s="99">
        <f>(Y70+AB70)/Q70</f>
        <v>7.4767010020320934E-2</v>
      </c>
      <c r="N70" s="100">
        <f>(1-E70*0.7635+1-F70*0.7562+1-G70*0.75+1-H70*0.7248+1-I70*0.7021+1-J70*0.6285+K70*0.5884+L70*0.5276+1-M70*0.3663)/11.068</f>
        <v>0.50667907102748022</v>
      </c>
      <c r="O70" s="101">
        <f>N70/0.4895*100</f>
        <v>103.50951399948522</v>
      </c>
      <c r="P70" s="102">
        <f>(O70-100)/100*Q70*0.6611</f>
        <v>331.10713730906696</v>
      </c>
      <c r="Q70" s="54">
        <v>14271</v>
      </c>
      <c r="R70" s="54">
        <f>Q70-Y70-AB70-AC70-AD70</f>
        <v>12978</v>
      </c>
      <c r="S70" s="19">
        <v>1391</v>
      </c>
      <c r="T70" s="19">
        <v>3074</v>
      </c>
      <c r="U70" s="19">
        <v>605</v>
      </c>
      <c r="V70" s="19">
        <v>67</v>
      </c>
      <c r="W70" s="19">
        <v>288</v>
      </c>
      <c r="X70" s="19" t="s">
        <v>19</v>
      </c>
      <c r="Y70" s="54">
        <v>1010</v>
      </c>
      <c r="Z70" s="19">
        <v>3084</v>
      </c>
      <c r="AA70" s="54">
        <f>T70+U70+V70*2+W70*3</f>
        <v>4677</v>
      </c>
      <c r="AB70" s="19">
        <v>57</v>
      </c>
      <c r="AC70" s="19">
        <v>139</v>
      </c>
      <c r="AD70" s="19">
        <v>87</v>
      </c>
      <c r="AE70" s="9"/>
      <c r="AF70" s="6">
        <v>1953</v>
      </c>
      <c r="AG70" s="77">
        <v>3.7641167473337941E-2</v>
      </c>
      <c r="AH70" s="85">
        <v>0.50883146337001872</v>
      </c>
      <c r="AI70" s="86">
        <v>0.49451473865037948</v>
      </c>
      <c r="AJ70" s="76">
        <v>7.8048065036562114E-3</v>
      </c>
      <c r="AK70" s="41">
        <v>5.1000000000000004E-3</v>
      </c>
      <c r="AL70" s="42">
        <v>1.3042931673895279E-2</v>
      </c>
      <c r="AM70" s="79">
        <v>7.9299999999999995E-3</v>
      </c>
      <c r="AN70" s="9"/>
      <c r="AO70" s="146" t="s">
        <v>267</v>
      </c>
      <c r="AP70" s="147">
        <v>0.27011420505581935</v>
      </c>
      <c r="AQ70" s="147">
        <v>0.31166085209853051</v>
      </c>
      <c r="AR70" s="147">
        <v>0.24514787430683918</v>
      </c>
      <c r="AS70" s="147">
        <v>0.43181097367586424</v>
      </c>
      <c r="AT70" s="147">
        <v>0.62638387195798895</v>
      </c>
      <c r="AU70" s="147">
        <v>2.0013568521031207E-2</v>
      </c>
      <c r="AV70" s="147">
        <v>9.1417910447761194E-2</v>
      </c>
      <c r="AW70" s="147">
        <v>9.6733269901680935E-2</v>
      </c>
      <c r="AX70" s="147">
        <v>5.2542552066814671E-2</v>
      </c>
      <c r="AY70" s="147">
        <v>0.51449856877492961</v>
      </c>
      <c r="AZ70" s="162">
        <v>100.37038017458634</v>
      </c>
      <c r="BA70" s="177">
        <v>46.322299516212532</v>
      </c>
      <c r="BB70" s="9"/>
      <c r="BC70" s="150" t="s">
        <v>215</v>
      </c>
      <c r="BD70" s="151">
        <v>0.31515422440768887</v>
      </c>
      <c r="BE70" s="151">
        <v>0.40113122171945703</v>
      </c>
      <c r="BF70" s="151">
        <v>0.35142231947483588</v>
      </c>
      <c r="BG70" s="151">
        <v>0.56221719457013575</v>
      </c>
      <c r="BH70" s="151">
        <v>0.86142160290850556</v>
      </c>
      <c r="BI70" s="151">
        <v>4.7941342357586014E-2</v>
      </c>
      <c r="BJ70" s="151">
        <v>6.5989847715736044E-2</v>
      </c>
      <c r="BK70" s="151">
        <v>7.9185520361990946E-2</v>
      </c>
      <c r="BL70" s="151">
        <v>0.12364253393665159</v>
      </c>
      <c r="BM70" s="151">
        <v>0.55037314049140951</v>
      </c>
      <c r="BN70" s="165">
        <v>110.20687634990179</v>
      </c>
      <c r="BO70" s="168">
        <v>305.78535891638376</v>
      </c>
      <c r="BP70" s="9"/>
    </row>
    <row r="71" spans="1:68" x14ac:dyDescent="0.2">
      <c r="A71" s="9"/>
      <c r="B71" s="3">
        <v>1952</v>
      </c>
      <c r="C71" s="51" t="s">
        <v>230</v>
      </c>
      <c r="D71" s="26">
        <v>0.83299999999999996</v>
      </c>
      <c r="E71" s="71">
        <f>(T71-W71)/(R71-W71-Z71+AD71)</f>
        <v>0.33860724233983286</v>
      </c>
      <c r="F71" s="71">
        <f>AA71/Q71</f>
        <v>0.41590043651899322</v>
      </c>
      <c r="G71" s="71">
        <f>(U71+V71+W71)/T71</f>
        <v>0.28838832487309646</v>
      </c>
      <c r="H71" s="71">
        <f>(AA71+X71)/Q71</f>
        <v>0.53747561994984672</v>
      </c>
      <c r="I71" s="71">
        <f>(AA71/R71)+((T71+Y71+AB71)/(R71+Y71+AB71+AD71))</f>
        <v>0.88143175761342984</v>
      </c>
      <c r="J71" s="71">
        <f>W71/AA71</f>
        <v>2.523447967842787E-2</v>
      </c>
      <c r="K71" s="71">
        <f>(AC71+AD71)/AA71</f>
        <v>5.7168378740509153E-2</v>
      </c>
      <c r="L71" s="71">
        <f>Z71/Q71</f>
        <v>3.4921519457601934E-2</v>
      </c>
      <c r="M71" s="71">
        <f>(Y71+AB71)/Q71</f>
        <v>0.10485743475434198</v>
      </c>
      <c r="N71" s="57">
        <f>(E71*0.7635+F71*0.7562+G71*0.75+H71*0.7248+I71*0.7021+J71*0.6285+1-K71*0.5884+1-L71*0.5276+M71*0.3663)/6.931</f>
        <v>0.54825335893069493</v>
      </c>
      <c r="O71" s="64">
        <f>N71/0.5028*100</f>
        <v>109.04004752002683</v>
      </c>
      <c r="P71" s="155">
        <f>(O71-100)/100*Q71*0.3389</f>
        <v>329.86557549550884</v>
      </c>
      <c r="Q71" s="54">
        <v>10767</v>
      </c>
      <c r="R71" s="21">
        <f>Q71-Y71-AB71-AC71-AD71</f>
        <v>9382</v>
      </c>
      <c r="S71" s="20" t="s">
        <v>19</v>
      </c>
      <c r="T71" s="19">
        <v>3152</v>
      </c>
      <c r="U71" s="19">
        <v>605</v>
      </c>
      <c r="V71" s="19">
        <v>191</v>
      </c>
      <c r="W71" s="19">
        <v>113</v>
      </c>
      <c r="X71" s="19">
        <v>1309</v>
      </c>
      <c r="Y71" s="54">
        <v>1091</v>
      </c>
      <c r="Z71" s="19">
        <v>376</v>
      </c>
      <c r="AA71" s="54">
        <f>T71+U71+V71*2+W71*3</f>
        <v>4478</v>
      </c>
      <c r="AB71" s="19">
        <v>38</v>
      </c>
      <c r="AC71" s="19">
        <v>174</v>
      </c>
      <c r="AD71" s="21">
        <v>82</v>
      </c>
      <c r="AE71" s="9"/>
      <c r="AF71" s="6">
        <v>1952</v>
      </c>
      <c r="AG71" s="77">
        <v>3.5720310391363023E-2</v>
      </c>
      <c r="AH71" s="85">
        <v>0.49444013477391269</v>
      </c>
      <c r="AI71" s="86">
        <v>0.5035268725950498</v>
      </c>
      <c r="AJ71" s="76">
        <v>7.1377361673414302E-3</v>
      </c>
      <c r="AK71" s="41">
        <v>5.0800000000000003E-3</v>
      </c>
      <c r="AL71" s="42">
        <v>1.427547233468286E-2</v>
      </c>
      <c r="AM71" s="79">
        <v>8.26E-3</v>
      </c>
      <c r="AN71" s="9"/>
      <c r="AO71" s="146" t="s">
        <v>243</v>
      </c>
      <c r="AP71" s="147">
        <v>0.28267938434858009</v>
      </c>
      <c r="AQ71" s="147">
        <v>0.29384456671251719</v>
      </c>
      <c r="AR71" s="147">
        <v>0.20702682281828486</v>
      </c>
      <c r="AS71" s="147">
        <v>0.39752407152682256</v>
      </c>
      <c r="AT71" s="147">
        <v>0.63197222759997462</v>
      </c>
      <c r="AU71" s="147">
        <v>1.1410181392627268E-2</v>
      </c>
      <c r="AV71" s="147">
        <v>0.11527208894090112</v>
      </c>
      <c r="AW71" s="147">
        <v>0.10875171939477304</v>
      </c>
      <c r="AX71" s="147">
        <v>6.9033700137551585E-2</v>
      </c>
      <c r="AY71" s="147">
        <v>0.5211068778882737</v>
      </c>
      <c r="AZ71" s="162">
        <v>100.32862493035691</v>
      </c>
      <c r="BA71" s="177">
        <v>25.270978470505383</v>
      </c>
      <c r="BB71" s="9"/>
      <c r="BC71" s="150" t="s">
        <v>171</v>
      </c>
      <c r="BD71" s="151">
        <v>0.26248718324300574</v>
      </c>
      <c r="BE71" s="151">
        <v>0.43555714968914394</v>
      </c>
      <c r="BF71" s="151">
        <v>0.3386046511627907</v>
      </c>
      <c r="BG71" s="151">
        <v>0.60652797704447636</v>
      </c>
      <c r="BH71" s="151">
        <v>0.83225716859569376</v>
      </c>
      <c r="BI71" s="151">
        <v>9.8270656052703811E-2</v>
      </c>
      <c r="BJ71" s="151">
        <v>2.415591545429591E-2</v>
      </c>
      <c r="BK71" s="151">
        <v>4.9497847919655669E-2</v>
      </c>
      <c r="BL71" s="151">
        <v>9.0387374461979919E-2</v>
      </c>
      <c r="BM71" s="151">
        <v>0.55723757070909841</v>
      </c>
      <c r="BN71" s="165">
        <v>110.76079719918475</v>
      </c>
      <c r="BO71" s="168">
        <v>305.02121004602242</v>
      </c>
      <c r="BP71" s="9"/>
    </row>
    <row r="72" spans="1:68" x14ac:dyDescent="0.2">
      <c r="A72" s="9"/>
      <c r="B72" s="3">
        <v>1989</v>
      </c>
      <c r="C72" s="51" t="s">
        <v>115</v>
      </c>
      <c r="D72" s="26">
        <v>0.96399999999999997</v>
      </c>
      <c r="E72" s="71">
        <f>(T72-W72)/(R72-W72-Z72+AD72)</f>
        <v>0.27259283601708839</v>
      </c>
      <c r="F72" s="71">
        <f>AA72/Q72</f>
        <v>0.42010606409960805</v>
      </c>
      <c r="G72" s="71">
        <f>(U72+V72+W72)/T72</f>
        <v>0.3876953125</v>
      </c>
      <c r="H72" s="71">
        <f>(AA72+X72)/Q72</f>
        <v>0.5787410652524787</v>
      </c>
      <c r="I72" s="71">
        <f>(AA72/R72)+((T72+Y72+AB72)/(R72+Y72+AB72+AD72))</f>
        <v>0.81698392890070581</v>
      </c>
      <c r="J72" s="71">
        <f>W72/AA72</f>
        <v>0.10675082327113063</v>
      </c>
      <c r="K72" s="71">
        <f>(AC72+AD72)/AA72</f>
        <v>2.7716794731064764E-2</v>
      </c>
      <c r="L72" s="71">
        <f>Z72/Q72</f>
        <v>0.14733686880332028</v>
      </c>
      <c r="M72" s="71">
        <f>(Y72+AB72)/Q72</f>
        <v>0.10491122896011068</v>
      </c>
      <c r="N72" s="57">
        <f>(E72*0.7635+F72*0.7562+G72*0.75+H72*0.7248+I72*0.7021+J72*0.6285+1-K72*0.5884+1-L72*0.5276+M72*0.3663)/6.931</f>
        <v>0.55131072608800402</v>
      </c>
      <c r="O72" s="64">
        <f>N72/0.4958*100</f>
        <v>111.19619324082373</v>
      </c>
      <c r="P72" s="155">
        <f>(O72-100)/100*Q72*0.3389</f>
        <v>329.12537899919721</v>
      </c>
      <c r="Q72" s="54">
        <v>8674</v>
      </c>
      <c r="R72" s="54">
        <f>Q72-Y72-AB72-AC72-AD72</f>
        <v>7663</v>
      </c>
      <c r="S72" s="19" t="s">
        <v>19</v>
      </c>
      <c r="T72" s="19">
        <v>2048</v>
      </c>
      <c r="U72" s="19">
        <v>381</v>
      </c>
      <c r="V72" s="19">
        <v>24</v>
      </c>
      <c r="W72" s="19">
        <v>389</v>
      </c>
      <c r="X72" s="19">
        <v>1376</v>
      </c>
      <c r="Y72" s="54">
        <v>891</v>
      </c>
      <c r="Z72" s="19">
        <v>1278</v>
      </c>
      <c r="AA72" s="54">
        <f>T72+U72+V72*2+W72*3</f>
        <v>3644</v>
      </c>
      <c r="AB72" s="19">
        <v>19</v>
      </c>
      <c r="AC72" s="19">
        <v>11</v>
      </c>
      <c r="AD72" s="19">
        <v>90</v>
      </c>
      <c r="AE72" s="9"/>
      <c r="AF72" s="6">
        <v>1951</v>
      </c>
      <c r="AG72" s="77">
        <v>3.7296571256026069E-2</v>
      </c>
      <c r="AH72" s="85">
        <v>0.50404063790019482</v>
      </c>
      <c r="AI72" s="86">
        <v>0.49751484809484542</v>
      </c>
      <c r="AJ72" s="76">
        <v>7.4551493632927608E-3</v>
      </c>
      <c r="AK72" s="41">
        <v>4.6800000000000001E-3</v>
      </c>
      <c r="AL72" s="42">
        <v>1.2911152528607573E-2</v>
      </c>
      <c r="AM72" s="79">
        <v>7.1799999999999998E-3</v>
      </c>
      <c r="AN72" s="9"/>
      <c r="AO72" s="146" t="s">
        <v>91</v>
      </c>
      <c r="AP72" s="147">
        <v>0.31725888324873097</v>
      </c>
      <c r="AQ72" s="147">
        <v>0.33884844473858372</v>
      </c>
      <c r="AR72" s="147">
        <v>0.23958333333333334</v>
      </c>
      <c r="AS72" s="147">
        <v>0.46790205162144277</v>
      </c>
      <c r="AT72" s="147">
        <v>0.68396080453842178</v>
      </c>
      <c r="AU72" s="147">
        <v>1.7578125E-2</v>
      </c>
      <c r="AV72" s="147">
        <v>9.375E-2</v>
      </c>
      <c r="AW72" s="147">
        <v>0.13302448709463932</v>
      </c>
      <c r="AX72" s="147">
        <v>5.1621442753143613E-2</v>
      </c>
      <c r="AY72" s="147">
        <v>0.50577279492182725</v>
      </c>
      <c r="AZ72" s="162">
        <v>102.03203448090122</v>
      </c>
      <c r="BA72" s="177">
        <v>20.298441509342535</v>
      </c>
      <c r="BB72" s="9"/>
      <c r="BC72" s="150" t="s">
        <v>181</v>
      </c>
      <c r="BD72" s="151">
        <v>0.3320493066255778</v>
      </c>
      <c r="BE72" s="151">
        <v>0.38732998407057956</v>
      </c>
      <c r="BF72" s="151">
        <v>0.27792792792792792</v>
      </c>
      <c r="BG72" s="151">
        <v>0.53363558387452514</v>
      </c>
      <c r="BH72" s="151">
        <v>0.85965648087893631</v>
      </c>
      <c r="BI72" s="151">
        <v>2.0563112938943372E-2</v>
      </c>
      <c r="BJ72" s="151">
        <v>7.9088895919012969E-2</v>
      </c>
      <c r="BK72" s="151">
        <v>5.2689621369930155E-2</v>
      </c>
      <c r="BL72" s="151">
        <v>0.12167626516358289</v>
      </c>
      <c r="BM72" s="151">
        <v>0.53792633007417801</v>
      </c>
      <c r="BN72" s="165">
        <v>111.0041952278535</v>
      </c>
      <c r="BO72" s="168">
        <v>304.3499490555426</v>
      </c>
      <c r="BP72" s="9"/>
    </row>
    <row r="73" spans="1:68" x14ac:dyDescent="0.2">
      <c r="A73" s="9"/>
      <c r="B73" s="3">
        <v>1945</v>
      </c>
      <c r="C73" s="51" t="s">
        <v>259</v>
      </c>
      <c r="D73" s="26" t="s">
        <v>19</v>
      </c>
      <c r="E73" s="71">
        <f>(T73-W73)/(R73-W73-Z73+AD73)</f>
        <v>0.3279460422499364</v>
      </c>
      <c r="F73" s="71">
        <f>AA73/Q73</f>
        <v>0.39670790985417587</v>
      </c>
      <c r="G73" s="71">
        <f>(U73+V73+W73)/T73</f>
        <v>0.2572944297082228</v>
      </c>
      <c r="H73" s="71">
        <f>(AA73+X73)/Q73</f>
        <v>0.53015908086610697</v>
      </c>
      <c r="I73" s="71">
        <f>(AA73/R73)+((T73+Y73+AB73)/(R73+Y73+AB73+AD73))</f>
        <v>0.80079193010243155</v>
      </c>
      <c r="J73" s="71">
        <f>W73/AA73</f>
        <v>1.7265385686438317E-2</v>
      </c>
      <c r="K73" s="71">
        <f>(AC73+AD73)/AA73</f>
        <v>7.1846282372598158E-2</v>
      </c>
      <c r="L73" s="71">
        <f>Z73/Q73</f>
        <v>3.9991162174105171E-2</v>
      </c>
      <c r="M73" s="71">
        <f>(Y73+AB73)/Q73</f>
        <v>6.4405656208572692E-2</v>
      </c>
      <c r="N73" s="57">
        <f>(E73*0.7635+F73*0.7562+G73*0.75+H73*0.7248+I73*0.7021+J73*0.6285+1-K73*0.5884+1-L73*0.5276+M73*0.3663)/6.931</f>
        <v>0.52819403548830246</v>
      </c>
      <c r="O73" s="64">
        <f>N73/0.4776*100</f>
        <v>110.59339101513869</v>
      </c>
      <c r="P73" s="155">
        <f>(O73-100)/100*Q73*0.3389</f>
        <v>324.97587146456107</v>
      </c>
      <c r="Q73" s="54">
        <v>9052</v>
      </c>
      <c r="R73" s="21">
        <f>Q73-Y73-AB73-AC73-AD73</f>
        <v>8211</v>
      </c>
      <c r="S73" s="19" t="s">
        <v>19</v>
      </c>
      <c r="T73" s="19">
        <v>2639</v>
      </c>
      <c r="U73" s="19">
        <v>468</v>
      </c>
      <c r="V73" s="19">
        <v>149</v>
      </c>
      <c r="W73" s="19">
        <v>62</v>
      </c>
      <c r="X73" s="19">
        <v>1208</v>
      </c>
      <c r="Y73" s="54">
        <v>513</v>
      </c>
      <c r="Z73" s="19">
        <v>362</v>
      </c>
      <c r="AA73" s="54">
        <f>T73+U73+V73*2+W73*3</f>
        <v>3591</v>
      </c>
      <c r="AB73" s="21">
        <v>70</v>
      </c>
      <c r="AC73" s="21">
        <v>187</v>
      </c>
      <c r="AD73" s="21">
        <v>71</v>
      </c>
      <c r="AE73" s="9"/>
      <c r="AF73" s="6">
        <v>1950</v>
      </c>
      <c r="AG73" s="77">
        <v>3.8487844307654041E-2</v>
      </c>
      <c r="AH73" s="85">
        <v>0.5127650581677905</v>
      </c>
      <c r="AI73" s="86">
        <v>0.49205144396811024</v>
      </c>
      <c r="AJ73" s="76">
        <v>8.2177868971377646E-3</v>
      </c>
      <c r="AK73" s="41">
        <v>4.5199999999999997E-3</v>
      </c>
      <c r="AL73" s="42">
        <v>1.2943273435718876E-2</v>
      </c>
      <c r="AM73" s="79">
        <v>6.8700000000000002E-3</v>
      </c>
      <c r="AN73" s="9"/>
      <c r="AO73" s="146" t="s">
        <v>103</v>
      </c>
      <c r="AP73" s="147">
        <v>0.27827788649706459</v>
      </c>
      <c r="AQ73" s="147">
        <v>0.29061981694207262</v>
      </c>
      <c r="AR73" s="147">
        <v>0.21402927368130351</v>
      </c>
      <c r="AS73" s="147">
        <v>0.39013452914798208</v>
      </c>
      <c r="AT73" s="147">
        <v>0.64404471203959501</v>
      </c>
      <c r="AU73" s="147">
        <v>1.3950538998097653E-2</v>
      </c>
      <c r="AV73" s="147">
        <v>0.11667723525681674</v>
      </c>
      <c r="AW73" s="147">
        <v>0.10141900608145464</v>
      </c>
      <c r="AX73" s="147">
        <v>8.4034645862767987E-2</v>
      </c>
      <c r="AY73" s="147">
        <v>0.51995885634905237</v>
      </c>
      <c r="AZ73" s="162">
        <v>100.16545104007943</v>
      </c>
      <c r="BA73" s="177">
        <v>17.805918529886295</v>
      </c>
      <c r="BB73" s="9"/>
      <c r="BC73" s="150" t="s">
        <v>261</v>
      </c>
      <c r="BD73" s="151">
        <v>0.34553104679331886</v>
      </c>
      <c r="BE73" s="151">
        <v>0.42925260589931247</v>
      </c>
      <c r="BF73" s="151">
        <v>0.24573257467994311</v>
      </c>
      <c r="BG73" s="151">
        <v>0.55988023952095811</v>
      </c>
      <c r="BH73" s="151">
        <v>0.85105406245145254</v>
      </c>
      <c r="BI73" s="151">
        <v>2.6349780418496511E-2</v>
      </c>
      <c r="BJ73" s="151">
        <v>7.6982691810901574E-2</v>
      </c>
      <c r="BK73" s="151">
        <v>3.6260811709913507E-2</v>
      </c>
      <c r="BL73" s="151">
        <v>5.7662452872033712E-2</v>
      </c>
      <c r="BM73" s="151">
        <v>0.54094564046025639</v>
      </c>
      <c r="BN73" s="165">
        <v>109.85898465886604</v>
      </c>
      <c r="BO73" s="168">
        <v>301.31030886223306</v>
      </c>
      <c r="BP73" s="9"/>
    </row>
    <row r="74" spans="1:68" x14ac:dyDescent="0.2">
      <c r="A74" s="9"/>
      <c r="B74" s="3">
        <v>1992</v>
      </c>
      <c r="C74" s="106" t="s">
        <v>109</v>
      </c>
      <c r="D74" s="98" t="s">
        <v>19</v>
      </c>
      <c r="E74" s="103">
        <f>(T74-W74)/(R74-W74-Z74+AD74)</f>
        <v>0.27378640776699031</v>
      </c>
      <c r="F74" s="103">
        <f>AA74/Q74</f>
        <v>0.28221150043502335</v>
      </c>
      <c r="G74" s="103">
        <f>(U74+V74+W74)/T74</f>
        <v>0.20680628272251309</v>
      </c>
      <c r="H74" s="103">
        <f>(AA74+S74)/Q74</f>
        <v>0.37688839674127977</v>
      </c>
      <c r="I74" s="103">
        <f>(AA74/R74)+((T74+Y74+AB74)/(R74+Y74+AB74+AD74))</f>
        <v>0.63750221934191331</v>
      </c>
      <c r="J74" s="103">
        <f>W74/AA74</f>
        <v>3.811659192825112E-2</v>
      </c>
      <c r="K74" s="103">
        <f>(AC74+AD74)/AA74</f>
        <v>7.6513452914798205E-2</v>
      </c>
      <c r="L74" s="103">
        <f>Z74/Q74</f>
        <v>0.14205489203511826</v>
      </c>
      <c r="M74" s="103">
        <f>(Y74+AB74)/Q74</f>
        <v>0.1002926520604287</v>
      </c>
      <c r="N74" s="104">
        <f>(1-E74*0.7635+1-F74*0.7562+1-G74*0.75+1-H74*0.7248+1-I74*0.7021+1-J74*0.6285+K74*0.5884+L74*0.5276+1-M74*0.3663)/11.068</f>
        <v>0.52050661466364034</v>
      </c>
      <c r="O74" s="105">
        <f>N74/0.5011*100</f>
        <v>103.87280276664146</v>
      </c>
      <c r="P74" s="102">
        <f>(O74-100)/100*Q74*0.6611</f>
        <v>323.69998179824148</v>
      </c>
      <c r="Q74" s="54">
        <v>12643</v>
      </c>
      <c r="R74" s="21">
        <f>Q74-Y74-AB74-AC74-AD74</f>
        <v>11102</v>
      </c>
      <c r="S74" s="19">
        <v>1197</v>
      </c>
      <c r="T74" s="19">
        <v>2674</v>
      </c>
      <c r="U74" s="19">
        <v>348</v>
      </c>
      <c r="V74" s="19">
        <v>69</v>
      </c>
      <c r="W74" s="19">
        <v>136</v>
      </c>
      <c r="X74" s="19" t="s">
        <v>19</v>
      </c>
      <c r="Y74" s="54">
        <v>1249</v>
      </c>
      <c r="Z74" s="19">
        <v>1796</v>
      </c>
      <c r="AA74" s="54">
        <f>T74+U74+V74*2+W74*3</f>
        <v>3568</v>
      </c>
      <c r="AB74" s="19">
        <v>19</v>
      </c>
      <c r="AC74" s="19">
        <v>173</v>
      </c>
      <c r="AD74" s="21">
        <v>100</v>
      </c>
      <c r="AE74" s="9"/>
      <c r="AF74" s="6">
        <v>1949</v>
      </c>
      <c r="AG74" s="77">
        <v>3.7428820815495242E-2</v>
      </c>
      <c r="AH74" s="85">
        <v>0.50291978125318548</v>
      </c>
      <c r="AI74" s="86">
        <v>0.49821675064457621</v>
      </c>
      <c r="AJ74" s="76">
        <v>7.9076437092148472E-3</v>
      </c>
      <c r="AK74" s="41">
        <v>3.8999999999999998E-3</v>
      </c>
      <c r="AL74" s="42">
        <v>1.4630699530321294E-2</v>
      </c>
      <c r="AM74" s="79">
        <v>8.4700000000000001E-3</v>
      </c>
      <c r="AN74" s="9"/>
      <c r="AO74" s="146" t="s">
        <v>66</v>
      </c>
      <c r="AP74" s="147">
        <v>0.30236794171220399</v>
      </c>
      <c r="AQ74" s="147">
        <v>0.33407079646017701</v>
      </c>
      <c r="AR74" s="147">
        <v>0.23529411764705882</v>
      </c>
      <c r="AS74" s="147">
        <v>0.45501474926253688</v>
      </c>
      <c r="AT74" s="147">
        <v>0.67836218359075318</v>
      </c>
      <c r="AU74" s="147">
        <v>1.7660044150110375E-2</v>
      </c>
      <c r="AV74" s="147">
        <v>0.11699779249448124</v>
      </c>
      <c r="AW74" s="147">
        <v>0.10250737463126844</v>
      </c>
      <c r="AX74" s="147">
        <v>5.0884955752212392E-2</v>
      </c>
      <c r="AY74" s="147">
        <v>0.50841708235801664</v>
      </c>
      <c r="AZ74" s="162">
        <v>101.76482833427075</v>
      </c>
      <c r="BA74" s="177">
        <v>15.820831839823448</v>
      </c>
      <c r="BB74" s="9"/>
      <c r="BC74" s="150" t="s">
        <v>94</v>
      </c>
      <c r="BD74" s="151">
        <v>0.30659150043365135</v>
      </c>
      <c r="BE74" s="151">
        <v>0.42302679217958</v>
      </c>
      <c r="BF74" s="151">
        <v>0.36692353289863661</v>
      </c>
      <c r="BG74" s="151">
        <v>0.58146270818247647</v>
      </c>
      <c r="BH74" s="151">
        <v>0.88566804407866973</v>
      </c>
      <c r="BI74" s="151">
        <v>9.3461143444026021E-2</v>
      </c>
      <c r="BJ74" s="151">
        <v>1.7459774049982883E-2</v>
      </c>
      <c r="BK74" s="151">
        <v>0.14641564083997102</v>
      </c>
      <c r="BL74" s="151">
        <v>0.14236060825488775</v>
      </c>
      <c r="BM74" s="151">
        <v>0.56208406022792079</v>
      </c>
      <c r="BN74" s="165">
        <v>112.59696719309311</v>
      </c>
      <c r="BO74" s="168">
        <v>294.78219614909545</v>
      </c>
      <c r="BP74" s="9"/>
    </row>
    <row r="75" spans="1:68" x14ac:dyDescent="0.2">
      <c r="A75" s="9"/>
      <c r="B75" s="3">
        <v>1962</v>
      </c>
      <c r="C75" s="106" t="s">
        <v>207</v>
      </c>
      <c r="D75" s="98">
        <v>0.93799999999999994</v>
      </c>
      <c r="E75" s="99">
        <f>(T75-W75)/(R75-W75-Z75+AD75)</f>
        <v>0.26829268292682928</v>
      </c>
      <c r="F75" s="99">
        <f>AA75/Q75</f>
        <v>0.28969824387830817</v>
      </c>
      <c r="G75" s="99">
        <f>(U75+V75+W75)/T75</f>
        <v>0.25863650259859372</v>
      </c>
      <c r="H75" s="99">
        <f>(AA75+S75)/Q75</f>
        <v>0.38597576057383132</v>
      </c>
      <c r="I75" s="99">
        <f>(AA75/R75)+((T75+Y75+AB75)/(R75+Y75+AB75+AD75))</f>
        <v>0.65245337640231471</v>
      </c>
      <c r="J75" s="99">
        <f>W75/AA75</f>
        <v>4.7812166488794022E-2</v>
      </c>
      <c r="K75" s="99">
        <f>(AC75+AD75)/AA75</f>
        <v>6.616862326574173E-2</v>
      </c>
      <c r="L75" s="99">
        <f>Z75/Q75</f>
        <v>0.15959683403413308</v>
      </c>
      <c r="M75" s="99">
        <f>(Y75+AB75)/Q75</f>
        <v>0.11278753400939896</v>
      </c>
      <c r="N75" s="100">
        <f>(1-E75*0.7635+1-F75*0.7562+1-G75*0.75+1-H75*0.7248+1-I75*0.7021+1-J75*0.6285+K75*0.5884+L75*0.5276+1-M75*0.3663)/11.068</f>
        <v>0.51464053921212394</v>
      </c>
      <c r="O75" s="101">
        <f>N75/0.4997*100</f>
        <v>102.9899017834949</v>
      </c>
      <c r="P75" s="102">
        <f>(O75-100)/100*Q75*0.6611</f>
        <v>319.65964444975441</v>
      </c>
      <c r="Q75" s="54">
        <v>16172</v>
      </c>
      <c r="R75" s="21">
        <f>Q75-Y75-AB75-AC75-AD75</f>
        <v>14038</v>
      </c>
      <c r="S75" s="19">
        <v>1557</v>
      </c>
      <c r="T75" s="19">
        <v>3271</v>
      </c>
      <c r="U75" s="19">
        <v>502</v>
      </c>
      <c r="V75" s="19">
        <v>120</v>
      </c>
      <c r="W75" s="19">
        <v>224</v>
      </c>
      <c r="X75" s="20" t="s">
        <v>19</v>
      </c>
      <c r="Y75" s="54">
        <v>1764</v>
      </c>
      <c r="Z75" s="19">
        <v>2581</v>
      </c>
      <c r="AA75" s="54">
        <f>T75+U75+V75*2+W75*3</f>
        <v>4685</v>
      </c>
      <c r="AB75" s="19">
        <v>60</v>
      </c>
      <c r="AC75" s="19">
        <v>186</v>
      </c>
      <c r="AD75" s="21">
        <v>124</v>
      </c>
      <c r="AE75" s="9"/>
      <c r="AF75" s="6">
        <v>1948</v>
      </c>
      <c r="AG75" s="77">
        <v>3.8262370540851555E-2</v>
      </c>
      <c r="AH75" s="85">
        <v>0.50076956415346874</v>
      </c>
      <c r="AI75" s="86">
        <v>0.49956325902171195</v>
      </c>
      <c r="AJ75" s="76">
        <v>9.2779056386651324E-3</v>
      </c>
      <c r="AK75" s="41">
        <v>4.0499999999999998E-3</v>
      </c>
      <c r="AL75" s="42">
        <v>1.5067606444188723E-2</v>
      </c>
      <c r="AM75" s="79">
        <v>8.1899999999999994E-3</v>
      </c>
      <c r="AN75" s="9"/>
      <c r="AO75" s="146" t="s">
        <v>182</v>
      </c>
      <c r="AP75" s="147">
        <v>0.29231344679259397</v>
      </c>
      <c r="AQ75" s="147">
        <v>0.31661901620115829</v>
      </c>
      <c r="AR75" s="147">
        <v>0.21713578719455615</v>
      </c>
      <c r="AS75" s="147">
        <v>0.42240304962979253</v>
      </c>
      <c r="AT75" s="147">
        <v>0.66233216014411367</v>
      </c>
      <c r="AU75" s="147">
        <v>2.4774253299374854E-2</v>
      </c>
      <c r="AV75" s="147">
        <v>0.10650613567955546</v>
      </c>
      <c r="AW75" s="147">
        <v>0.11678029469980207</v>
      </c>
      <c r="AX75" s="147">
        <v>6.5757642401583466E-2</v>
      </c>
      <c r="AY75" s="147">
        <v>0.51391238290792152</v>
      </c>
      <c r="AZ75" s="162">
        <v>100.041343762492</v>
      </c>
      <c r="BA75" s="177">
        <v>3.7284074163183929</v>
      </c>
      <c r="BB75" s="9"/>
      <c r="BC75" s="150" t="s">
        <v>256</v>
      </c>
      <c r="BD75" s="151">
        <v>0.3308623298033283</v>
      </c>
      <c r="BE75" s="151">
        <v>0.40474368783473602</v>
      </c>
      <c r="BF75" s="151">
        <v>0.2398604448320977</v>
      </c>
      <c r="BG75" s="151">
        <v>0.57077276205049732</v>
      </c>
      <c r="BH75" s="151">
        <v>0.84755826643785759</v>
      </c>
      <c r="BI75" s="151">
        <v>3.3396345305608068E-2</v>
      </c>
      <c r="BJ75" s="151">
        <v>7.1833648393194713E-2</v>
      </c>
      <c r="BK75" s="151">
        <v>3.4174955368528437E-2</v>
      </c>
      <c r="BL75" s="151">
        <v>8.8370313695485841E-2</v>
      </c>
      <c r="BM75" s="151">
        <v>0.53966306156889365</v>
      </c>
      <c r="BN75" s="165">
        <v>111.01893881277385</v>
      </c>
      <c r="BO75" s="168">
        <v>292.84524607735921</v>
      </c>
      <c r="BP75" s="9"/>
    </row>
    <row r="76" spans="1:68" x14ac:dyDescent="0.2">
      <c r="A76" s="9"/>
      <c r="B76" s="3">
        <v>2000</v>
      </c>
      <c r="C76" s="51" t="s">
        <v>86</v>
      </c>
      <c r="D76" s="26" t="s">
        <v>19</v>
      </c>
      <c r="E76" s="71">
        <f>(T76-W76)/(R76-W76-Z76+AD76)</f>
        <v>0.34844279987665744</v>
      </c>
      <c r="F76" s="71">
        <f>AA76/Q76</f>
        <v>0.5430974071478627</v>
      </c>
      <c r="G76" s="71">
        <f>(U76+V76+W76)/T76</f>
        <v>0.39893617021276595</v>
      </c>
      <c r="H76" s="72">
        <f>(AA76+X76)/Q76</f>
        <v>0.77598691894417193</v>
      </c>
      <c r="I76" s="71">
        <f>(AA76/R76)+((T76+Y76+AB76)/(R76+Y76+AB76+AD76))</f>
        <v>1.0394084992240953</v>
      </c>
      <c r="J76" s="71">
        <f>W76/AA76</f>
        <v>0.08</v>
      </c>
      <c r="K76" s="71">
        <f>(AC76+AD76)/AA76</f>
        <v>4.3010752688172046E-2</v>
      </c>
      <c r="L76" s="71">
        <f>Z76/Q76</f>
        <v>7.9887876664330768E-2</v>
      </c>
      <c r="M76" s="71">
        <f>(Y76+AB76)/Q76</f>
        <v>0.10348049521139921</v>
      </c>
      <c r="N76" s="58">
        <f>(E76*0.7635+F76*0.7562+G76*0.75+H76*0.7248+I76*0.7021+J76*0.6285+1-K76*0.5884+1-L76*0.5276+M76*0.3663)/6.931</f>
        <v>0.61879397281672244</v>
      </c>
      <c r="O76" s="65">
        <f>N76/0.5072*100</f>
        <v>122.0019662493538</v>
      </c>
      <c r="P76" s="155">
        <f>(O76-100)/100*Q76*0.3389</f>
        <v>319.21132495319597</v>
      </c>
      <c r="Q76" s="54">
        <v>4281</v>
      </c>
      <c r="R76" s="21">
        <f>Q76-Y76-AB76-AC76-AD76</f>
        <v>3738</v>
      </c>
      <c r="S76" s="20" t="s">
        <v>19</v>
      </c>
      <c r="T76" s="19">
        <v>1316</v>
      </c>
      <c r="U76" s="19">
        <v>227</v>
      </c>
      <c r="V76" s="19">
        <v>112</v>
      </c>
      <c r="W76" s="19">
        <v>186</v>
      </c>
      <c r="X76" s="19">
        <v>997</v>
      </c>
      <c r="Y76" s="54">
        <v>415</v>
      </c>
      <c r="Z76" s="21">
        <v>342</v>
      </c>
      <c r="AA76" s="54">
        <f>T76+U76+V76*2+W76*3</f>
        <v>2325</v>
      </c>
      <c r="AB76" s="19">
        <v>28</v>
      </c>
      <c r="AC76" s="19">
        <v>67</v>
      </c>
      <c r="AD76" s="21">
        <v>33</v>
      </c>
      <c r="AE76" s="9"/>
      <c r="AF76" s="6">
        <v>1947</v>
      </c>
      <c r="AG76" s="77">
        <v>3.7297340468013737E-2</v>
      </c>
      <c r="AH76" s="85">
        <v>0.49836495309815504</v>
      </c>
      <c r="AI76" s="86">
        <v>0.50106907391368705</v>
      </c>
      <c r="AJ76" s="76">
        <v>8.8473586596739696E-3</v>
      </c>
      <c r="AK76" s="41">
        <v>3.9300000000000003E-3</v>
      </c>
      <c r="AL76" s="42">
        <v>1.5556087994391645E-2</v>
      </c>
      <c r="AM76" s="79">
        <v>8.2400000000000008E-3</v>
      </c>
      <c r="AN76" s="9"/>
      <c r="AO76" s="146" t="s">
        <v>246</v>
      </c>
      <c r="AP76" s="147">
        <v>0.27602739726027398</v>
      </c>
      <c r="AQ76" s="147">
        <v>0.29937071342713711</v>
      </c>
      <c r="AR76" s="147">
        <v>0.20634920634920634</v>
      </c>
      <c r="AS76" s="147">
        <v>0.40090504136321853</v>
      </c>
      <c r="AT76" s="147">
        <v>0.64323737364113454</v>
      </c>
      <c r="AU76" s="147">
        <v>1.228153046764289E-2</v>
      </c>
      <c r="AV76" s="147">
        <v>0.11076995748700992</v>
      </c>
      <c r="AW76" s="147">
        <v>7.5514388743548044E-2</v>
      </c>
      <c r="AX76" s="147">
        <v>7.0069999292936433E-2</v>
      </c>
      <c r="AY76" s="147">
        <v>0.51839058201746568</v>
      </c>
      <c r="AZ76" s="162">
        <v>99.998183259541989</v>
      </c>
      <c r="BA76" s="177">
        <v>-0.16986409372777703</v>
      </c>
      <c r="BB76" s="9"/>
      <c r="BC76" s="150" t="s">
        <v>68</v>
      </c>
      <c r="BD76" s="151">
        <v>0.33199415631848062</v>
      </c>
      <c r="BE76" s="151">
        <v>0.54313886606409201</v>
      </c>
      <c r="BF76" s="151">
        <v>0.42738970588235292</v>
      </c>
      <c r="BG76" s="151">
        <v>0.78334702821144897</v>
      </c>
      <c r="BH76" s="151">
        <v>1.0330743710066022</v>
      </c>
      <c r="BI76" s="151">
        <v>9.0267271810388294E-2</v>
      </c>
      <c r="BJ76" s="151">
        <v>4.3368633383761977E-2</v>
      </c>
      <c r="BK76" s="151">
        <v>7.9978088195015062E-2</v>
      </c>
      <c r="BL76" s="151">
        <v>0.10517666392769104</v>
      </c>
      <c r="BM76" s="151">
        <v>0.62117696138000733</v>
      </c>
      <c r="BN76" s="165">
        <v>123.29832500595619</v>
      </c>
      <c r="BO76" s="168">
        <v>288.27574359837229</v>
      </c>
      <c r="BP76" s="9"/>
    </row>
    <row r="77" spans="1:68" x14ac:dyDescent="0.2">
      <c r="A77" s="9"/>
      <c r="B77" s="3">
        <v>2012</v>
      </c>
      <c r="C77" s="51" t="s">
        <v>49</v>
      </c>
      <c r="D77" s="26" t="s">
        <v>19</v>
      </c>
      <c r="E77" s="71">
        <f>(T77-W77)/(R77-W77-Z77+AD77)</f>
        <v>0.29177475965206773</v>
      </c>
      <c r="F77" s="71">
        <f>AA77/Q77</f>
        <v>0.40214962221985739</v>
      </c>
      <c r="G77" s="71">
        <f>(U77+V77+W77)/T77</f>
        <v>0.34338952972493347</v>
      </c>
      <c r="H77" s="72">
        <f>(AA77+X77)/Q77</f>
        <v>0.54379057145897625</v>
      </c>
      <c r="I77" s="71">
        <f>(AA77/R77)+((T77+Y77+AB77)/(R77+Y77+AB77+AD77))</f>
        <v>0.82634143389994597</v>
      </c>
      <c r="J77" s="71">
        <f>W77/AA77</f>
        <v>9.0500132310134956E-2</v>
      </c>
      <c r="K77" s="71">
        <f>(AC77+AD77)/AA77</f>
        <v>2.8314368880656259E-2</v>
      </c>
      <c r="L77" s="71">
        <f>Z77/Q77</f>
        <v>0.14291795253804407</v>
      </c>
      <c r="M77" s="71">
        <f>(Y77+AB77)/Q77</f>
        <v>0.12195381504735554</v>
      </c>
      <c r="N77" s="58">
        <f>(E77*0.7635+F77*0.7562+G77*0.75+H77*0.7248+I77*0.7021+J77*0.6285+1-K77*0.5884+1-L77*0.5276+M77*0.3663)/6.931</f>
        <v>0.54367606070489738</v>
      </c>
      <c r="O77" s="65">
        <f>N77/0.4948*100</f>
        <v>109.87794274553302</v>
      </c>
      <c r="P77" s="155">
        <f>(O77-100)/100*Q77*0.3389</f>
        <v>314.57724182345333</v>
      </c>
      <c r="Q77" s="54">
        <v>9397</v>
      </c>
      <c r="R77" s="54">
        <f>Q77-Y77-AB77-AC77-AD77</f>
        <v>8144</v>
      </c>
      <c r="S77" s="19" t="s">
        <v>19</v>
      </c>
      <c r="T77" s="19">
        <v>2254</v>
      </c>
      <c r="U77" s="19">
        <v>365</v>
      </c>
      <c r="V77" s="19">
        <v>67</v>
      </c>
      <c r="W77" s="19">
        <v>342</v>
      </c>
      <c r="X77" s="19">
        <v>1331</v>
      </c>
      <c r="Y77" s="54">
        <v>1108</v>
      </c>
      <c r="Z77" s="19">
        <v>1343</v>
      </c>
      <c r="AA77" s="54">
        <f>T77+U77+V77*2+W77*3</f>
        <v>3779</v>
      </c>
      <c r="AB77" s="19">
        <v>38</v>
      </c>
      <c r="AC77" s="19">
        <v>13</v>
      </c>
      <c r="AD77" s="19">
        <v>94</v>
      </c>
      <c r="AE77" s="9"/>
      <c r="AF77" s="6">
        <v>1946</v>
      </c>
      <c r="AG77" s="77">
        <v>3.6356297093649084E-2</v>
      </c>
      <c r="AH77" s="85">
        <v>0.48830487801091266</v>
      </c>
      <c r="AI77" s="86">
        <v>0.50736889144437691</v>
      </c>
      <c r="AJ77" s="76">
        <v>8.5217079296734839E-3</v>
      </c>
      <c r="AK77" s="41">
        <v>3.13E-3</v>
      </c>
      <c r="AL77" s="42">
        <v>1.6801219949766775E-2</v>
      </c>
      <c r="AM77" s="79">
        <v>7.6600000000000001E-3</v>
      </c>
      <c r="AN77" s="9"/>
      <c r="AO77" s="146" t="s">
        <v>319</v>
      </c>
      <c r="AP77" s="147">
        <v>0.27190002426595489</v>
      </c>
      <c r="AQ77" s="147">
        <v>0.30524916289147136</v>
      </c>
      <c r="AR77" s="147">
        <v>0.24193548387096775</v>
      </c>
      <c r="AS77" s="147">
        <v>0.43111089225920818</v>
      </c>
      <c r="AT77" s="147">
        <v>0.64261130457718263</v>
      </c>
      <c r="AU77" s="147">
        <v>1.7099532182610098E-2</v>
      </c>
      <c r="AV77" s="147">
        <v>9.307952895628327E-2</v>
      </c>
      <c r="AW77" s="147">
        <v>9.1097104589324407E-2</v>
      </c>
      <c r="AX77" s="147">
        <v>7.1351191648611381E-2</v>
      </c>
      <c r="AY77" s="147">
        <v>0.51341024211055486</v>
      </c>
      <c r="AZ77" s="162">
        <v>99.982520372065224</v>
      </c>
      <c r="BA77" s="177">
        <v>-2.3467482141813352</v>
      </c>
      <c r="BB77" s="9"/>
      <c r="BC77" s="150" t="s">
        <v>154</v>
      </c>
      <c r="BD77" s="151">
        <v>0.37254901960784315</v>
      </c>
      <c r="BE77" s="151">
        <v>0.51938775510204083</v>
      </c>
      <c r="BF77" s="151">
        <v>0.38359569179784592</v>
      </c>
      <c r="BG77" s="151">
        <v>0.73698979591836733</v>
      </c>
      <c r="BH77" s="151">
        <v>1.0690445424989869</v>
      </c>
      <c r="BI77" s="151">
        <v>7.0235756385068765E-2</v>
      </c>
      <c r="BJ77" s="151">
        <v>6.4341846758349711E-2</v>
      </c>
      <c r="BK77" s="151">
        <v>8.0102040816326534E-2</v>
      </c>
      <c r="BL77" s="151">
        <v>0.12933673469387755</v>
      </c>
      <c r="BM77" s="151">
        <v>0.61478054862738185</v>
      </c>
      <c r="BN77" s="165">
        <v>121.66644540419193</v>
      </c>
      <c r="BO77" s="168">
        <v>287.83612722124133</v>
      </c>
      <c r="BP77" s="9"/>
    </row>
    <row r="78" spans="1:68" x14ac:dyDescent="0.2">
      <c r="A78" s="9"/>
      <c r="B78" s="3">
        <v>2019</v>
      </c>
      <c r="C78" s="51" t="s">
        <v>25</v>
      </c>
      <c r="D78" s="26">
        <v>0.85399999999999998</v>
      </c>
      <c r="E78" s="72">
        <f>(T78-W78)/(R78-W78-Z78+AD78)</f>
        <v>0.33523611831862998</v>
      </c>
      <c r="F78" s="72">
        <f>AA78/Q78</f>
        <v>0.42863730689416646</v>
      </c>
      <c r="G78" s="72">
        <f>(U78+V78+W78)/T78</f>
        <v>0.37294170004450378</v>
      </c>
      <c r="H78" s="72">
        <f>(AA78+X78)/Q78</f>
        <v>0.57401429559603412</v>
      </c>
      <c r="I78" s="72">
        <f>(AA78/R78)+((T78+Y78+AB78)/(R78+Y78+AB78+AD78))</f>
        <v>0.93302076314541682</v>
      </c>
      <c r="J78" s="72">
        <f>W78/AA78</f>
        <v>8.3109198493813874E-2</v>
      </c>
      <c r="K78" s="72">
        <f>(AC78+AD78)/AA78</f>
        <v>2.3399677245831092E-2</v>
      </c>
      <c r="L78" s="72">
        <f>Z78/Q78</f>
        <v>0.13857505187917915</v>
      </c>
      <c r="M78" s="72">
        <f>(Y78+AB78)/Q78</f>
        <v>0.15817385289370534</v>
      </c>
      <c r="N78" s="58">
        <f>(E78*0.7635+F78*0.7562+G78*0.75+H78*0.7248+I78*0.7021+J78*0.6285+1-K78*0.5884+1-L78*0.5276+M78*0.3663)/6.931</f>
        <v>0.57051026809996364</v>
      </c>
      <c r="O78" s="65">
        <f>N78/0.5156*100</f>
        <v>110.64978046934905</v>
      </c>
      <c r="P78" s="155">
        <f>(O78-100)/100*Q78*0.3389</f>
        <v>313.06292753615202</v>
      </c>
      <c r="Q78" s="54">
        <v>8674</v>
      </c>
      <c r="R78" s="54">
        <f>Q78-Y78-AB78-AC78-AD78</f>
        <v>7215</v>
      </c>
      <c r="S78" s="20" t="s">
        <v>19</v>
      </c>
      <c r="T78" s="19">
        <v>2247</v>
      </c>
      <c r="U78" s="19">
        <v>514</v>
      </c>
      <c r="V78" s="19">
        <v>15</v>
      </c>
      <c r="W78" s="19">
        <v>309</v>
      </c>
      <c r="X78" s="19">
        <v>1261</v>
      </c>
      <c r="Y78" s="54">
        <v>1283</v>
      </c>
      <c r="Z78" s="19">
        <v>1202</v>
      </c>
      <c r="AA78" s="54">
        <f>T78+U78+V78*2+W78*3</f>
        <v>3718</v>
      </c>
      <c r="AB78" s="19">
        <v>89</v>
      </c>
      <c r="AC78" s="19">
        <v>10</v>
      </c>
      <c r="AD78" s="19">
        <v>77</v>
      </c>
      <c r="AE78" s="9"/>
      <c r="AF78" s="6">
        <v>1945</v>
      </c>
      <c r="AG78" s="77">
        <v>3.6285990056637102E-2</v>
      </c>
      <c r="AH78" s="85">
        <v>0.48693992275290854</v>
      </c>
      <c r="AI78" s="86">
        <v>0.50822365336100384</v>
      </c>
      <c r="AJ78" s="76">
        <v>8.5684107009524509E-3</v>
      </c>
      <c r="AK78" s="41">
        <v>3.9100000000000003E-3</v>
      </c>
      <c r="AL78" s="42">
        <v>1.7610314873158384E-2</v>
      </c>
      <c r="AM78" s="79">
        <v>7.0299999999999998E-3</v>
      </c>
      <c r="AN78" s="9"/>
      <c r="AO78" s="146" t="s">
        <v>320</v>
      </c>
      <c r="AP78" s="154">
        <v>0.24583769384454382</v>
      </c>
      <c r="AQ78" s="147">
        <v>0.33808437856328394</v>
      </c>
      <c r="AR78" s="147">
        <v>0.32724814063556457</v>
      </c>
      <c r="AS78" s="147">
        <v>0.43643101482326113</v>
      </c>
      <c r="AT78" s="147">
        <v>0.65547324464701906</v>
      </c>
      <c r="AU78" s="147">
        <v>7.8836424957841489E-2</v>
      </c>
      <c r="AV78" s="147">
        <v>4.7428330522765599E-2</v>
      </c>
      <c r="AW78" s="147">
        <v>0.14338654503990877</v>
      </c>
      <c r="AX78" s="147">
        <v>7.1479475484606619E-2</v>
      </c>
      <c r="AY78" s="147">
        <v>0.50257502615463734</v>
      </c>
      <c r="AZ78" s="162">
        <v>99.796470642302879</v>
      </c>
      <c r="BA78" s="177">
        <v>-18.880513214978908</v>
      </c>
      <c r="BB78" s="9"/>
      <c r="BC78" s="150" t="s">
        <v>145</v>
      </c>
      <c r="BD78" s="151">
        <v>0.31992639327024186</v>
      </c>
      <c r="BE78" s="151">
        <v>0.4666186791434227</v>
      </c>
      <c r="BF78" s="151">
        <v>0.39493497604380562</v>
      </c>
      <c r="BG78" s="151">
        <v>0.65790894367464459</v>
      </c>
      <c r="BH78" s="151">
        <v>0.94476421361042329</v>
      </c>
      <c r="BI78" s="151">
        <v>9.409949865021211E-2</v>
      </c>
      <c r="BJ78" s="151">
        <v>5.6305437716930196E-2</v>
      </c>
      <c r="BK78" s="151">
        <v>0.12830664027352889</v>
      </c>
      <c r="BL78" s="151">
        <v>0.12488752924239697</v>
      </c>
      <c r="BM78" s="151">
        <v>0.5825359355239349</v>
      </c>
      <c r="BN78" s="165">
        <v>115.05746307010367</v>
      </c>
      <c r="BO78" s="168">
        <v>283.57227820883838</v>
      </c>
      <c r="BP78" s="9"/>
    </row>
    <row r="79" spans="1:68" x14ac:dyDescent="0.2">
      <c r="A79" s="9"/>
      <c r="B79" s="3">
        <v>1974</v>
      </c>
      <c r="C79" s="51" t="s">
        <v>164</v>
      </c>
      <c r="D79" s="26" t="s">
        <v>19</v>
      </c>
      <c r="E79" s="71">
        <f>(T79-W79)/(R79-W79-Z79+AD79)</f>
        <v>0.31422569027611047</v>
      </c>
      <c r="F79" s="71">
        <f>AA79/Q79</f>
        <v>0.44711653505623355</v>
      </c>
      <c r="G79" s="71">
        <f>(U79+V79+W79)/T79</f>
        <v>0.36100302637267617</v>
      </c>
      <c r="H79" s="72">
        <f>(AA79+X79)/Q79</f>
        <v>0.61725293132328307</v>
      </c>
      <c r="I79" s="71">
        <f>(AA79/R79)+((T79+Y79+AB79)/(R79+Y79+AB79+AD79))</f>
        <v>0.87360266954221211</v>
      </c>
      <c r="J79" s="71">
        <f>W79/AA79</f>
        <v>5.86031576130586E-2</v>
      </c>
      <c r="K79" s="71">
        <f>(AC79+AD79)/AA79</f>
        <v>6.5025421461065019E-2</v>
      </c>
      <c r="L79" s="71">
        <f>Z79/Q79</f>
        <v>7.0710696338837045E-2</v>
      </c>
      <c r="M79" s="71">
        <f>(Y79+AB79)/Q79</f>
        <v>8.458961474036851E-2</v>
      </c>
      <c r="N79" s="58">
        <f>(E79*0.7635+F79*0.7562+G79*0.75+H79*0.7248+I79*0.7021+J79*0.6285+1-K79*0.5884+1-L79*0.5276+M79*0.3663)/6.931</f>
        <v>0.5629438473649816</v>
      </c>
      <c r="O79" s="65">
        <f>N79/0.5071*100</f>
        <v>111.01239348550219</v>
      </c>
      <c r="P79" s="155">
        <f>(O79-100)/100*Q79*0.3389</f>
        <v>311.92893072394259</v>
      </c>
      <c r="Q79" s="54">
        <v>8358</v>
      </c>
      <c r="R79" s="21">
        <f>Q79-Y79-AB79-AC79-AD79</f>
        <v>7408</v>
      </c>
      <c r="S79" s="20" t="s">
        <v>19</v>
      </c>
      <c r="T79" s="19">
        <v>2313</v>
      </c>
      <c r="U79" s="19">
        <v>465</v>
      </c>
      <c r="V79" s="19">
        <v>151</v>
      </c>
      <c r="W79" s="19">
        <v>219</v>
      </c>
      <c r="X79" s="19">
        <v>1422</v>
      </c>
      <c r="Y79" s="54">
        <v>664</v>
      </c>
      <c r="Z79" s="19">
        <v>591</v>
      </c>
      <c r="AA79" s="54">
        <f>T79+U79+V79*2+W79*3</f>
        <v>3737</v>
      </c>
      <c r="AB79" s="19">
        <v>43</v>
      </c>
      <c r="AC79" s="19">
        <v>177</v>
      </c>
      <c r="AD79" s="21">
        <v>66</v>
      </c>
      <c r="AE79" s="9"/>
      <c r="AF79" s="6">
        <v>1944</v>
      </c>
      <c r="AG79" s="77">
        <v>3.7804474815386312E-2</v>
      </c>
      <c r="AH79" s="85">
        <v>0.48804377967450674</v>
      </c>
      <c r="AI79" s="86">
        <v>0.50753239637477354</v>
      </c>
      <c r="AJ79" s="76">
        <v>8.8908483044931857E-3</v>
      </c>
      <c r="AK79" s="41">
        <v>3.2100000000000002E-3</v>
      </c>
      <c r="AL79" s="42">
        <v>1.8048054667695358E-2</v>
      </c>
      <c r="AM79" s="79">
        <v>8.2799999999999992E-3</v>
      </c>
      <c r="AN79" s="9"/>
      <c r="AO79" s="146" t="s">
        <v>318</v>
      </c>
      <c r="AP79" s="147">
        <v>0.40984908657664815</v>
      </c>
      <c r="AQ79" s="147">
        <v>0.35429447852760737</v>
      </c>
      <c r="AR79" s="147">
        <v>0.2128060263653484</v>
      </c>
      <c r="AS79" s="147">
        <v>0.50255623721881393</v>
      </c>
      <c r="AT79" s="147">
        <v>0.81486605572007309</v>
      </c>
      <c r="AU79" s="147">
        <v>2.1645021645021644E-2</v>
      </c>
      <c r="AV79" s="147">
        <v>6.9264069264069264E-2</v>
      </c>
      <c r="AW79" s="147">
        <v>0.21012269938650308</v>
      </c>
      <c r="AX79" s="147">
        <v>0.12167689161554192</v>
      </c>
      <c r="AY79" s="147">
        <v>0.48939551613240967</v>
      </c>
      <c r="AZ79" s="162">
        <v>97.761789079586421</v>
      </c>
      <c r="BA79" s="177">
        <v>-28.942565044334756</v>
      </c>
      <c r="BB79" s="9"/>
      <c r="BC79" s="150" t="s">
        <v>220</v>
      </c>
      <c r="BD79" s="151">
        <v>0.31325301204819278</v>
      </c>
      <c r="BE79" s="151">
        <v>0.39643552493634865</v>
      </c>
      <c r="BF79" s="151">
        <v>0.279651795429815</v>
      </c>
      <c r="BG79" s="151">
        <v>0.54485547401527634</v>
      </c>
      <c r="BH79" s="151">
        <v>0.80691808054848546</v>
      </c>
      <c r="BI79" s="151">
        <v>3.6267472610502456E-2</v>
      </c>
      <c r="BJ79" s="151">
        <v>7.7823951643369846E-2</v>
      </c>
      <c r="BK79" s="151">
        <v>5.1520143777145422E-2</v>
      </c>
      <c r="BL79" s="151">
        <v>7.832859068443912E-2</v>
      </c>
      <c r="BM79" s="151">
        <v>0.5321963245486967</v>
      </c>
      <c r="BN79" s="165">
        <v>112.51507918577097</v>
      </c>
      <c r="BO79" s="168">
        <v>283.19562963857811</v>
      </c>
      <c r="BP79" s="9"/>
    </row>
    <row r="80" spans="1:68" x14ac:dyDescent="0.2">
      <c r="A80" s="9"/>
      <c r="B80" s="3">
        <v>2016</v>
      </c>
      <c r="C80" s="51" t="s">
        <v>39</v>
      </c>
      <c r="D80" s="26">
        <v>0.83</v>
      </c>
      <c r="E80" s="71">
        <f>(T80-W80)/(R80-W80-Z80+AD80)</f>
        <v>0.31388478581979323</v>
      </c>
      <c r="F80" s="71">
        <f>AA80/Q80</f>
        <v>0.4865074241446094</v>
      </c>
      <c r="G80" s="71">
        <f>(U80+V80+W80)/T80</f>
        <v>0.36624353549600375</v>
      </c>
      <c r="H80" s="72">
        <f>(AA80+X80)/Q80</f>
        <v>0.65887669464170429</v>
      </c>
      <c r="I80" s="71">
        <f>(AA80/R80)+((T80+Y80+AB80)/(R80+Y80+AB80+AD80))</f>
        <v>0.92171873714110575</v>
      </c>
      <c r="J80" s="71">
        <f>W80/AA80</f>
        <v>0.11332271762208068</v>
      </c>
      <c r="K80" s="71">
        <f>(AC80+AD80)/AA80</f>
        <v>1.194267515923567E-2</v>
      </c>
      <c r="L80" s="71">
        <f>Z80/Q80</f>
        <v>0.14370561652679148</v>
      </c>
      <c r="M80" s="71">
        <f>(Y80+AB80)/Q80</f>
        <v>0.10187217559715946</v>
      </c>
      <c r="N80" s="58">
        <f>(E80*0.7635+F80*0.7562+G80*0.75+H80*0.7248+I80*0.7021+J80*0.6285+1-K80*0.5884+1-L80*0.5276+M80*0.3663)/6.931</f>
        <v>0.58182312883568521</v>
      </c>
      <c r="O80" s="65">
        <f>N80/0.5208*100</f>
        <v>111.7171906366523</v>
      </c>
      <c r="P80" s="155">
        <f>(O80-100)/100*Q80*0.3389</f>
        <v>307.5505349786755</v>
      </c>
      <c r="Q80" s="54">
        <v>7745</v>
      </c>
      <c r="R80" s="54">
        <f>Q80-Y80-AB80-AC80-AD80</f>
        <v>6911</v>
      </c>
      <c r="S80" s="19" t="s">
        <v>19</v>
      </c>
      <c r="T80" s="19">
        <v>2127</v>
      </c>
      <c r="U80" s="19">
        <v>344</v>
      </c>
      <c r="V80" s="19">
        <v>8</v>
      </c>
      <c r="W80" s="19">
        <v>427</v>
      </c>
      <c r="X80" s="19">
        <v>1335</v>
      </c>
      <c r="Y80" s="54">
        <v>759</v>
      </c>
      <c r="Z80" s="19">
        <v>1113</v>
      </c>
      <c r="AA80" s="54">
        <f>T80+U80+V80*2+W80*3</f>
        <v>3768</v>
      </c>
      <c r="AB80" s="19">
        <v>30</v>
      </c>
      <c r="AC80" s="19">
        <v>0</v>
      </c>
      <c r="AD80" s="19">
        <v>45</v>
      </c>
      <c r="AE80" s="9"/>
      <c r="AF80" s="6">
        <v>1943</v>
      </c>
      <c r="AG80" s="77">
        <v>3.5986751841721211E-2</v>
      </c>
      <c r="AH80" s="85">
        <v>0.48248697640345006</v>
      </c>
      <c r="AI80" s="86">
        <v>0.51101217623307627</v>
      </c>
      <c r="AJ80" s="76">
        <v>8.9224073896059641E-3</v>
      </c>
      <c r="AK80" s="41">
        <v>3.62E-3</v>
      </c>
      <c r="AL80" s="42">
        <v>1.6700020099448577E-2</v>
      </c>
      <c r="AM80" s="79">
        <v>7.7999999999999996E-3</v>
      </c>
      <c r="AN80" s="9"/>
      <c r="AO80" s="146" t="s">
        <v>322</v>
      </c>
      <c r="AP80" s="147">
        <v>0.30161522469214774</v>
      </c>
      <c r="AQ80" s="147">
        <v>0.34419929768766977</v>
      </c>
      <c r="AR80" s="147">
        <v>0.22230769230769232</v>
      </c>
      <c r="AS80" s="147">
        <v>0.45676803816338701</v>
      </c>
      <c r="AT80" s="147">
        <v>0.70561576785660429</v>
      </c>
      <c r="AU80" s="147">
        <v>2.46390760346487E-2</v>
      </c>
      <c r="AV80" s="147">
        <v>7.6997112608277185E-2</v>
      </c>
      <c r="AW80" s="147">
        <v>8.1295965016895247E-2</v>
      </c>
      <c r="AX80" s="147">
        <v>6.3075597959318885E-2</v>
      </c>
      <c r="AY80" s="147">
        <v>0.50287593011508547</v>
      </c>
      <c r="AZ80" s="162">
        <v>99.618845109961455</v>
      </c>
      <c r="BA80" s="177">
        <v>-38.031567463630452</v>
      </c>
      <c r="BB80" s="9"/>
      <c r="BC80" s="150" t="s">
        <v>204</v>
      </c>
      <c r="BD80" s="151">
        <v>0.34086817363472693</v>
      </c>
      <c r="BE80" s="151">
        <v>0.38749805628984607</v>
      </c>
      <c r="BF80" s="151">
        <v>0.27397260273972601</v>
      </c>
      <c r="BG80" s="151">
        <v>0.50505364640024875</v>
      </c>
      <c r="BH80" s="151">
        <v>0.83607646756574749</v>
      </c>
      <c r="BI80" s="151">
        <v>1.9261637239165328E-2</v>
      </c>
      <c r="BJ80" s="151">
        <v>6.9823434991974312E-2</v>
      </c>
      <c r="BK80" s="151">
        <v>8.8166692582802048E-2</v>
      </c>
      <c r="BL80" s="151">
        <v>0.10822578137148188</v>
      </c>
      <c r="BM80" s="151">
        <v>0.53036772329322279</v>
      </c>
      <c r="BN80" s="165">
        <v>112.96437130846067</v>
      </c>
      <c r="BO80" s="168">
        <v>282.55405181728412</v>
      </c>
      <c r="BP80" s="9"/>
    </row>
    <row r="81" spans="1:68" x14ac:dyDescent="0.2">
      <c r="A81" s="9"/>
      <c r="B81" s="3">
        <v>1956</v>
      </c>
      <c r="C81" s="51" t="s">
        <v>215</v>
      </c>
      <c r="D81" s="26">
        <v>0.78800000000000003</v>
      </c>
      <c r="E81" s="72">
        <f>(T81-W81)/(R81-W81-Z81+AD81)</f>
        <v>0.31515422440768887</v>
      </c>
      <c r="F81" s="72">
        <f>AA81/Q81</f>
        <v>0.40113122171945703</v>
      </c>
      <c r="G81" s="72">
        <f>(U81+V81+W81)/T81</f>
        <v>0.35142231947483588</v>
      </c>
      <c r="H81" s="72">
        <f>(AA81+X81)/Q81</f>
        <v>0.56221719457013575</v>
      </c>
      <c r="I81" s="72">
        <f>(AA81/R81)+((T81+Y81+AB81)/(R81+Y81+AB81+AD81))</f>
        <v>0.86142160290850556</v>
      </c>
      <c r="J81" s="72">
        <f>W81/AA81</f>
        <v>4.7941342357586014E-2</v>
      </c>
      <c r="K81" s="72">
        <f>(AC81+AD81)/AA81</f>
        <v>6.5989847715736044E-2</v>
      </c>
      <c r="L81" s="72">
        <f>Z81/Q81</f>
        <v>7.9185520361990946E-2</v>
      </c>
      <c r="M81" s="72">
        <f>(Y81+AB81)/Q81</f>
        <v>0.12364253393665159</v>
      </c>
      <c r="N81" s="58">
        <f>(E81*0.7635+F81*0.7562+G81*0.75+H81*0.7248+I81*0.7021+J81*0.6285+1-K81*0.5884+1-L81*0.5276+M81*0.3663)/6.931</f>
        <v>0.55037314049140951</v>
      </c>
      <c r="O81" s="65">
        <f>N81/0.4994*100</f>
        <v>110.20687634990179</v>
      </c>
      <c r="P81" s="155">
        <f>(O81-100)/100*Q81*0.3389</f>
        <v>305.78535891638376</v>
      </c>
      <c r="Q81" s="54">
        <v>8840</v>
      </c>
      <c r="R81" s="21">
        <f>Q81-Y81-AB81-AC81-AD81</f>
        <v>7513</v>
      </c>
      <c r="S81" s="20" t="s">
        <v>19</v>
      </c>
      <c r="T81" s="19">
        <v>2285</v>
      </c>
      <c r="U81" s="19">
        <v>515</v>
      </c>
      <c r="V81" s="19">
        <v>118</v>
      </c>
      <c r="W81" s="19">
        <v>170</v>
      </c>
      <c r="X81" s="19">
        <v>1424</v>
      </c>
      <c r="Y81" s="54">
        <v>1059</v>
      </c>
      <c r="Z81" s="19">
        <v>700</v>
      </c>
      <c r="AA81" s="54">
        <f>T81+U81+V81*2+W81*3</f>
        <v>3546</v>
      </c>
      <c r="AB81" s="19">
        <v>34</v>
      </c>
      <c r="AC81" s="19">
        <v>166</v>
      </c>
      <c r="AD81" s="21">
        <v>68</v>
      </c>
      <c r="AE81" s="9"/>
      <c r="AF81" s="6">
        <v>1942</v>
      </c>
      <c r="AG81" s="77">
        <v>3.621968421531601E-2</v>
      </c>
      <c r="AH81" s="85">
        <v>0.48452081807183101</v>
      </c>
      <c r="AI81" s="86">
        <v>0.50973854444742861</v>
      </c>
      <c r="AJ81" s="76">
        <v>7.8991673112799744E-3</v>
      </c>
      <c r="AK81" s="41">
        <v>3.0899999999999999E-3</v>
      </c>
      <c r="AL81" s="42">
        <v>1.5761932929881241E-2</v>
      </c>
      <c r="AM81" s="79">
        <v>7.4400000000000004E-3</v>
      </c>
      <c r="AN81" s="9"/>
      <c r="AO81" s="146" t="s">
        <v>321</v>
      </c>
      <c r="AP81" s="147">
        <v>0.27154628461138741</v>
      </c>
      <c r="AQ81" s="147">
        <v>0.35448815474896761</v>
      </c>
      <c r="AR81" s="147">
        <v>0.31747947851279573</v>
      </c>
      <c r="AS81" s="147">
        <v>0.45517278852423387</v>
      </c>
      <c r="AT81" s="147">
        <v>0.669783391845993</v>
      </c>
      <c r="AU81" s="147">
        <v>7.4187614960147155E-2</v>
      </c>
      <c r="AV81" s="147">
        <v>4.5984058859595341E-2</v>
      </c>
      <c r="AW81" s="147">
        <v>0.17344055640078243</v>
      </c>
      <c r="AX81" s="147">
        <v>5.8737231036731147E-2</v>
      </c>
      <c r="AY81" s="147">
        <v>0.50024924084882871</v>
      </c>
      <c r="AZ81" s="162">
        <v>99.512480773588365</v>
      </c>
      <c r="BA81" s="177">
        <v>-59.315900705277912</v>
      </c>
      <c r="BB81" s="9"/>
      <c r="BC81" s="150" t="s">
        <v>253</v>
      </c>
      <c r="BD81" s="151">
        <v>0.3252366716492277</v>
      </c>
      <c r="BE81" s="151">
        <v>0.37322515212981744</v>
      </c>
      <c r="BF81" s="151">
        <v>0.2419716206123973</v>
      </c>
      <c r="BG81" s="151">
        <v>0.4761663286004057</v>
      </c>
      <c r="BH81" s="151">
        <v>0.81636404825874664</v>
      </c>
      <c r="BI81" s="151">
        <v>1.8206521739130434E-2</v>
      </c>
      <c r="BJ81" s="151">
        <v>8.2880434782608689E-2</v>
      </c>
      <c r="BK81" s="151">
        <v>5.1825557809330632E-2</v>
      </c>
      <c r="BL81" s="151">
        <v>0.10436105476673428</v>
      </c>
      <c r="BM81" s="151">
        <v>0.51996603213156822</v>
      </c>
      <c r="BN81" s="165">
        <v>108.41660386396335</v>
      </c>
      <c r="BO81" s="168">
        <v>281.24536308042173</v>
      </c>
      <c r="BP81" s="9"/>
    </row>
    <row r="82" spans="1:68" x14ac:dyDescent="0.2">
      <c r="A82" s="9"/>
      <c r="B82" s="3">
        <v>1972</v>
      </c>
      <c r="C82" s="51" t="s">
        <v>171</v>
      </c>
      <c r="D82" s="26">
        <v>0.85599999999999998</v>
      </c>
      <c r="E82" s="72">
        <f>(T82-W82)/(R82-W82-Z82+AD82)</f>
        <v>0.26248718324300574</v>
      </c>
      <c r="F82" s="72">
        <f>AA82/Q82</f>
        <v>0.43555714968914394</v>
      </c>
      <c r="G82" s="72">
        <f>(U82+V82+W82)/T82</f>
        <v>0.3386046511627907</v>
      </c>
      <c r="H82" s="72">
        <f>(AA82+X82)/Q82</f>
        <v>0.60652797704447636</v>
      </c>
      <c r="I82" s="72">
        <f>(AA82/R82)+((T82+Y82+AB82)/(R82+Y82+AB82+AD82))</f>
        <v>0.83225716859569376</v>
      </c>
      <c r="J82" s="72">
        <f>W82/AA82</f>
        <v>9.8270656052703811E-2</v>
      </c>
      <c r="K82" s="72">
        <f>(AC82+AD82)/AA82</f>
        <v>2.415591545429591E-2</v>
      </c>
      <c r="L82" s="72">
        <f>Z82/Q82</f>
        <v>4.9497847919655669E-2</v>
      </c>
      <c r="M82" s="72">
        <f>(Y82+AB82)/Q82</f>
        <v>9.0387374461979919E-2</v>
      </c>
      <c r="N82" s="58">
        <f>(E82*0.7635+F82*0.7562+G82*0.75+H82*0.7248+I82*0.7021+J82*0.6285+1-K82*0.5884+1-L82*0.5276+M82*0.3663)/6.931</f>
        <v>0.55723757070909841</v>
      </c>
      <c r="O82" s="65">
        <f>N82/0.5031*100</f>
        <v>110.76079719918475</v>
      </c>
      <c r="P82" s="155">
        <f>(O82-100)/100*Q82*0.3389</f>
        <v>305.02121004602242</v>
      </c>
      <c r="Q82" s="54">
        <v>8364</v>
      </c>
      <c r="R82" s="21">
        <f>Q82-Y82-AB82-AC82-AD82</f>
        <v>7520</v>
      </c>
      <c r="S82" s="20" t="s">
        <v>19</v>
      </c>
      <c r="T82" s="19">
        <v>2150</v>
      </c>
      <c r="U82" s="19">
        <v>321</v>
      </c>
      <c r="V82" s="19">
        <v>49</v>
      </c>
      <c r="W82" s="19">
        <v>358</v>
      </c>
      <c r="X82" s="19">
        <v>1430</v>
      </c>
      <c r="Y82" s="54">
        <v>704</v>
      </c>
      <c r="Z82" s="19">
        <v>414</v>
      </c>
      <c r="AA82" s="54">
        <f>T82+U82+V82*2+W82*3</f>
        <v>3643</v>
      </c>
      <c r="AB82" s="19">
        <v>52</v>
      </c>
      <c r="AC82" s="19">
        <v>9</v>
      </c>
      <c r="AD82" s="21">
        <v>79</v>
      </c>
      <c r="AE82" s="9"/>
      <c r="AF82" s="6">
        <v>1941</v>
      </c>
      <c r="AG82" s="77">
        <v>3.9972801450589304E-2</v>
      </c>
      <c r="AH82" s="85">
        <v>0.49693519069933373</v>
      </c>
      <c r="AI82" s="86">
        <v>0.50196441934070457</v>
      </c>
      <c r="AJ82" s="76">
        <v>9.2747053490480503E-3</v>
      </c>
      <c r="AK82" s="41">
        <v>2.8300000000000001E-3</v>
      </c>
      <c r="AL82" s="42">
        <v>1.5630099728014504E-2</v>
      </c>
      <c r="AM82" s="79">
        <v>8.2699999999999996E-3</v>
      </c>
      <c r="AN82" s="9"/>
      <c r="AO82" s="146" t="s">
        <v>323</v>
      </c>
      <c r="AP82" s="147">
        <v>0.28519560678950712</v>
      </c>
      <c r="AQ82" s="147">
        <v>0.33004131418453669</v>
      </c>
      <c r="AR82" s="147">
        <v>0.2157689305230289</v>
      </c>
      <c r="AS82" s="147">
        <v>0.4619319299626205</v>
      </c>
      <c r="AT82" s="147">
        <v>0.64764249812727892</v>
      </c>
      <c r="AU82" s="147">
        <v>1.4425369575584168E-2</v>
      </c>
      <c r="AV82" s="147">
        <v>8.5598474010491171E-2</v>
      </c>
      <c r="AW82" s="147">
        <v>7.1099744245524302E-2</v>
      </c>
      <c r="AX82" s="154">
        <v>3.6631910289199293E-2</v>
      </c>
      <c r="AY82" s="147">
        <v>0.51018475853090406</v>
      </c>
      <c r="AZ82" s="162">
        <v>99.277049723857573</v>
      </c>
      <c r="BA82" s="177">
        <v>-121.46906796380435</v>
      </c>
      <c r="BB82" s="9"/>
      <c r="BC82" s="150" t="s">
        <v>173</v>
      </c>
      <c r="BD82" s="151">
        <v>0.35830072666294022</v>
      </c>
      <c r="BE82" s="153">
        <v>0.61688570290720823</v>
      </c>
      <c r="BF82" s="151">
        <v>0.44044665012406947</v>
      </c>
      <c r="BG82" s="153">
        <v>0.90561529271206687</v>
      </c>
      <c r="BH82" s="153">
        <v>1.1832025330931755</v>
      </c>
      <c r="BI82" s="151">
        <v>0.1065203357004519</v>
      </c>
      <c r="BJ82" s="151">
        <v>2.6468689477081989E-2</v>
      </c>
      <c r="BK82" s="151">
        <v>8.0047789725209081E-2</v>
      </c>
      <c r="BL82" s="151">
        <v>0.13301473516527279</v>
      </c>
      <c r="BM82" s="153">
        <v>0.66590202875667304</v>
      </c>
      <c r="BN82" s="164">
        <v>132.86153805999064</v>
      </c>
      <c r="BO82" s="168">
        <v>279.64442649060902</v>
      </c>
      <c r="BP82" s="9"/>
    </row>
    <row r="83" spans="1:68" x14ac:dyDescent="0.2">
      <c r="A83" s="9"/>
      <c r="B83" s="3">
        <v>1971</v>
      </c>
      <c r="C83" s="51" t="s">
        <v>181</v>
      </c>
      <c r="D83" s="26" t="s">
        <v>19</v>
      </c>
      <c r="E83" s="71">
        <f>(T83-W83)/(R83-W83-Z83+AD83)</f>
        <v>0.3320493066255778</v>
      </c>
      <c r="F83" s="71">
        <f>AA83/Q83</f>
        <v>0.38732998407057956</v>
      </c>
      <c r="G83" s="71">
        <f>(U83+V83+W83)/T83</f>
        <v>0.27792792792792792</v>
      </c>
      <c r="H83" s="71">
        <f>(AA83+X83)/Q83</f>
        <v>0.53363558387452514</v>
      </c>
      <c r="I83" s="71">
        <f>(AA83/R83)+((T83+Y83+AB83)/(R83+Y83+AB83+AD83))</f>
        <v>0.85965648087893631</v>
      </c>
      <c r="J83" s="71">
        <f>W83/AA83</f>
        <v>2.0563112938943372E-2</v>
      </c>
      <c r="K83" s="71">
        <f>(AC83+AD83)/AA83</f>
        <v>7.9088895919012969E-2</v>
      </c>
      <c r="L83" s="71">
        <f>Z83/Q83</f>
        <v>5.2689621369930155E-2</v>
      </c>
      <c r="M83" s="71">
        <f>(Y83+AB83)/Q83</f>
        <v>0.12167626516358289</v>
      </c>
      <c r="N83" s="57">
        <f>(E83*0.7635+F83*0.7562+G83*0.75+H83*0.7248+I83*0.7021+J83*0.6285+1-K83*0.5884+1-L83*0.5276+M83*0.3663)/6.931</f>
        <v>0.53792633007417801</v>
      </c>
      <c r="O83" s="64">
        <f>N83/0.4846*100</f>
        <v>111.0041952278535</v>
      </c>
      <c r="P83" s="155">
        <f>(O83-100)/100*Q83*0.3389</f>
        <v>304.3499490555426</v>
      </c>
      <c r="Q83" s="54">
        <v>8161</v>
      </c>
      <c r="R83" s="21">
        <f>Q83-Y83-AB83-AC83-AD83</f>
        <v>6918</v>
      </c>
      <c r="S83" s="20" t="s">
        <v>19</v>
      </c>
      <c r="T83" s="19">
        <v>2220</v>
      </c>
      <c r="U83" s="19">
        <v>358</v>
      </c>
      <c r="V83" s="19">
        <v>194</v>
      </c>
      <c r="W83" s="19">
        <v>65</v>
      </c>
      <c r="X83" s="19">
        <v>1194</v>
      </c>
      <c r="Y83" s="54">
        <v>911</v>
      </c>
      <c r="Z83" s="19">
        <v>430</v>
      </c>
      <c r="AA83" s="54">
        <f>T83+U83+V83*2+W83*3</f>
        <v>3161</v>
      </c>
      <c r="AB83" s="19">
        <v>82</v>
      </c>
      <c r="AC83" s="21">
        <v>183</v>
      </c>
      <c r="AD83" s="21">
        <v>67</v>
      </c>
      <c r="AE83" s="9"/>
      <c r="AF83" s="6">
        <v>1940</v>
      </c>
      <c r="AG83" s="77">
        <v>4.1507740632712585E-2</v>
      </c>
      <c r="AH83" s="85">
        <v>0.50604388245422416</v>
      </c>
      <c r="AI83" s="86">
        <v>0.49626037682596436</v>
      </c>
      <c r="AJ83" s="76">
        <v>9.9169845187345746E-3</v>
      </c>
      <c r="AK83" s="41">
        <v>3.2100000000000002E-3</v>
      </c>
      <c r="AL83" s="42">
        <v>1.403634731882432E-2</v>
      </c>
      <c r="AM83" s="79">
        <v>7.1199999999999996E-3</v>
      </c>
      <c r="AN83" s="9"/>
      <c r="AO83" s="146" t="s">
        <v>324</v>
      </c>
      <c r="AP83" s="147">
        <v>0.26804733727810653</v>
      </c>
      <c r="AQ83" s="147">
        <v>0.377171990427635</v>
      </c>
      <c r="AR83" s="147">
        <v>0.32474901789611521</v>
      </c>
      <c r="AS83" s="147">
        <v>0.47924253459577565</v>
      </c>
      <c r="AT83" s="147">
        <v>0.69460725872446838</v>
      </c>
      <c r="AU83" s="147">
        <v>6.9655172413793098E-2</v>
      </c>
      <c r="AV83" s="147">
        <v>4.1517241379310343E-2</v>
      </c>
      <c r="AW83" s="147">
        <v>0.12261991468109458</v>
      </c>
      <c r="AX83" s="147">
        <v>4.9734679013630212E-2</v>
      </c>
      <c r="AY83" s="147">
        <v>0.49319252014888015</v>
      </c>
      <c r="AZ83" s="162">
        <v>97.046934307138955</v>
      </c>
      <c r="BA83" s="177">
        <v>-375.26567185418503</v>
      </c>
      <c r="BB83" s="9"/>
      <c r="BC83" s="150" t="s">
        <v>241</v>
      </c>
      <c r="BD83" s="151">
        <v>0.35922330097087379</v>
      </c>
      <c r="BE83" s="151">
        <v>0.39038321736421228</v>
      </c>
      <c r="BF83" s="151">
        <v>0.2024561403508772</v>
      </c>
      <c r="BG83" s="151">
        <v>0.48925122027209472</v>
      </c>
      <c r="BH83" s="151">
        <v>0.86645686098673935</v>
      </c>
      <c r="BI83" s="151">
        <v>1.9952114924181964E-2</v>
      </c>
      <c r="BJ83" s="151">
        <v>5.0545357807927641E-2</v>
      </c>
      <c r="BK83" s="151">
        <v>6.3661854813583968E-2</v>
      </c>
      <c r="BL83" s="151">
        <v>0.11465365043098971</v>
      </c>
      <c r="BM83" s="151">
        <v>0.53029493353428503</v>
      </c>
      <c r="BN83" s="165">
        <v>108.46695306489774</v>
      </c>
      <c r="BO83" s="168">
        <v>276.29937840878011</v>
      </c>
      <c r="BP83" s="9"/>
    </row>
    <row r="84" spans="1:68" x14ac:dyDescent="0.2">
      <c r="A84" s="9"/>
      <c r="B84" s="3">
        <v>1939</v>
      </c>
      <c r="C84" s="51" t="s">
        <v>261</v>
      </c>
      <c r="D84" s="26">
        <v>0.85799999999999998</v>
      </c>
      <c r="E84" s="71">
        <f>(T84-W84)/(R84-W84-Z84+AD84)</f>
        <v>0.34553104679331886</v>
      </c>
      <c r="F84" s="71">
        <f>AA84/Q84</f>
        <v>0.42925260589931247</v>
      </c>
      <c r="G84" s="71">
        <f>(U84+V84+W84)/T84</f>
        <v>0.24573257467994311</v>
      </c>
      <c r="H84" s="71">
        <f>(AA84+X84)/Q84</f>
        <v>0.55988023952095811</v>
      </c>
      <c r="I84" s="71">
        <f>(AA84/R84)+((T84+Y84+AB84)/(R84+Y84+AB84+AD84))</f>
        <v>0.85105406245145254</v>
      </c>
      <c r="J84" s="71">
        <f>W84/AA84</f>
        <v>2.6349780418496511E-2</v>
      </c>
      <c r="K84" s="71">
        <f>(AC84+AD84)/AA84</f>
        <v>7.6982691810901574E-2</v>
      </c>
      <c r="L84" s="71">
        <f>Z84/Q84</f>
        <v>3.6260811709913507E-2</v>
      </c>
      <c r="M84" s="71">
        <f>(Y84+AB84)/Q84</f>
        <v>5.7662452872033712E-2</v>
      </c>
      <c r="N84" s="57">
        <f>(E84*0.7635+F84*0.7562+G84*0.75+H84*0.7248+I84*0.7021+J84*0.6285+1-K84*0.5884+1-L84*0.5276+M84*0.3663)/6.931</f>
        <v>0.54094564046025639</v>
      </c>
      <c r="O84" s="64">
        <f>N84/0.4924*100</f>
        <v>109.85898465886604</v>
      </c>
      <c r="P84" s="155">
        <f>(O84-100)/100*Q84*0.3389</f>
        <v>301.31030886223306</v>
      </c>
      <c r="Q84" s="54">
        <v>9018</v>
      </c>
      <c r="R84" s="21">
        <f>Q84-Y84-AB84-AC84-AD84</f>
        <v>8200</v>
      </c>
      <c r="S84" s="19" t="s">
        <v>19</v>
      </c>
      <c r="T84" s="19">
        <v>2812</v>
      </c>
      <c r="U84" s="19">
        <v>425</v>
      </c>
      <c r="V84" s="19">
        <v>164</v>
      </c>
      <c r="W84" s="19">
        <v>102</v>
      </c>
      <c r="X84" s="19">
        <v>1178</v>
      </c>
      <c r="Y84" s="54">
        <v>472</v>
      </c>
      <c r="Z84" s="19">
        <v>327</v>
      </c>
      <c r="AA84" s="54">
        <f>T84+U84+V84*2+W84*3</f>
        <v>3871</v>
      </c>
      <c r="AB84" s="19">
        <v>48</v>
      </c>
      <c r="AC84" s="19">
        <v>226</v>
      </c>
      <c r="AD84" s="21">
        <v>72</v>
      </c>
      <c r="AE84" s="9"/>
      <c r="AF84" s="6">
        <v>1939</v>
      </c>
      <c r="AG84" s="77">
        <v>4.1636722552239214E-2</v>
      </c>
      <c r="AH84" s="85">
        <v>0.50531461597369087</v>
      </c>
      <c r="AI84" s="86">
        <v>0.49671705788637055</v>
      </c>
      <c r="AJ84" s="76">
        <v>9.5972781937103714E-3</v>
      </c>
      <c r="AK84" s="41">
        <v>3.2100000000000002E-3</v>
      </c>
      <c r="AL84" s="42">
        <v>2.2360293649421888E-2</v>
      </c>
      <c r="AM84" s="79">
        <v>7.7200000000000003E-3</v>
      </c>
      <c r="AN84" s="9"/>
      <c r="AO84" s="16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66"/>
      <c r="BA84" s="280"/>
      <c r="BB84" s="9"/>
      <c r="BC84" s="150" t="s">
        <v>258</v>
      </c>
      <c r="BD84" s="151">
        <v>0.33295150820924019</v>
      </c>
      <c r="BE84" s="151">
        <v>0.40003097413659594</v>
      </c>
      <c r="BF84" s="151">
        <v>0.29233314947600664</v>
      </c>
      <c r="BG84" s="151">
        <v>0.54715812296732225</v>
      </c>
      <c r="BH84" s="151">
        <v>0.83654074446419302</v>
      </c>
      <c r="BI84" s="151">
        <v>2.6713124274099883E-2</v>
      </c>
      <c r="BJ84" s="151">
        <v>7.1622144792876499E-2</v>
      </c>
      <c r="BK84" s="151">
        <v>6.4735945485519586E-2</v>
      </c>
      <c r="BL84" s="151">
        <v>9.2612668421867744E-2</v>
      </c>
      <c r="BM84" s="151">
        <v>0.53878131434090204</v>
      </c>
      <c r="BN84" s="165">
        <v>112.59797582881966</v>
      </c>
      <c r="BO84" s="168">
        <v>275.67864532154738</v>
      </c>
      <c r="BP84" s="9"/>
    </row>
    <row r="85" spans="1:68" x14ac:dyDescent="0.2">
      <c r="A85" s="9"/>
      <c r="B85" s="3">
        <v>2019</v>
      </c>
      <c r="C85" s="106" t="s">
        <v>23</v>
      </c>
      <c r="D85" s="98">
        <v>1</v>
      </c>
      <c r="E85" s="99">
        <f>(T85-W85)/(R85-W85-Z85+AD85)</f>
        <v>0.2647814910025707</v>
      </c>
      <c r="F85" s="99">
        <f>AA85/Q85</f>
        <v>0.27082108563590046</v>
      </c>
      <c r="G85" s="99">
        <f>(U85+V85+W85)/T85</f>
        <v>0.22745490981963928</v>
      </c>
      <c r="H85" s="130">
        <f>(AA85+S85)/Q85</f>
        <v>0.33744855967078191</v>
      </c>
      <c r="I85" s="130">
        <f>(AA85/R85)+((T85+Y85+AB85)/(R85+Y85+AB85+AD85))</f>
        <v>0.55476233796149477</v>
      </c>
      <c r="J85" s="99">
        <f>W85/AA85</f>
        <v>5.1374819102749637E-2</v>
      </c>
      <c r="K85" s="99">
        <f>(AC85+AD85)/AA85</f>
        <v>3.6903039073806078E-2</v>
      </c>
      <c r="L85" s="99">
        <f>Z85/Q85</f>
        <v>0.22986478542034097</v>
      </c>
      <c r="M85" s="99">
        <f>(Y85+AB85)/Q85</f>
        <v>6.505976876347247E-2</v>
      </c>
      <c r="N85" s="100">
        <f>(1-E85*0.7635+1-F85*0.7562+1-G85*0.75+1-H85*0.7248+1-I85*0.7021+1-J85*0.6285+K85*0.5884+L85*0.5276+1-M85*0.3663)/11.068</f>
        <v>0.53083139073359709</v>
      </c>
      <c r="O85" s="237">
        <f>N85/0.4874*100</f>
        <v>108.91083109019226</v>
      </c>
      <c r="P85" s="102">
        <f>(O85-100)/100*Q85*0.6611</f>
        <v>300.61520063304306</v>
      </c>
      <c r="Q85" s="20">
        <v>5103</v>
      </c>
      <c r="R85" s="20">
        <f>Q85-Y85-AB85-AC85-AD85</f>
        <v>4720</v>
      </c>
      <c r="S85" s="20">
        <v>340</v>
      </c>
      <c r="T85" s="20">
        <v>998</v>
      </c>
      <c r="U85" s="20">
        <v>141</v>
      </c>
      <c r="V85" s="20">
        <v>15</v>
      </c>
      <c r="W85" s="20">
        <v>71</v>
      </c>
      <c r="X85" s="20" t="s">
        <v>19</v>
      </c>
      <c r="Y85" s="20">
        <v>286</v>
      </c>
      <c r="Z85" s="20">
        <v>1173</v>
      </c>
      <c r="AA85" s="54">
        <f>T85+U85+V85*2+W85*3</f>
        <v>1382</v>
      </c>
      <c r="AB85" s="20">
        <v>46</v>
      </c>
      <c r="AC85" s="20">
        <v>26</v>
      </c>
      <c r="AD85" s="20">
        <v>25</v>
      </c>
      <c r="AE85" s="9"/>
      <c r="AF85" s="6">
        <v>1938</v>
      </c>
      <c r="AG85" s="77">
        <v>4.1315442652821145E-2</v>
      </c>
      <c r="AH85" s="85">
        <v>0.50814511246394178</v>
      </c>
      <c r="AI85" s="86">
        <v>0.49494454513122699</v>
      </c>
      <c r="AJ85" s="76">
        <v>1.0392987608020732E-2</v>
      </c>
      <c r="AK85" s="41">
        <v>3.8800000000000002E-3</v>
      </c>
      <c r="AL85" s="42">
        <v>1.5912327410067487E-2</v>
      </c>
      <c r="AM85" s="79">
        <v>7.1799999999999998E-3</v>
      </c>
      <c r="AN85" s="9"/>
      <c r="AO85" s="175" t="s">
        <v>317</v>
      </c>
      <c r="AP85" s="152">
        <f>AVERAGE(AP2:AP83)</f>
        <v>0.27956134840899488</v>
      </c>
      <c r="AQ85" s="152">
        <f t="shared" ref="AQ85:AZ85" si="0">AVERAGE(AQ2:AQ83)</f>
        <v>0.31323778262209412</v>
      </c>
      <c r="AR85" s="152">
        <f t="shared" si="0"/>
        <v>0.25582222323863296</v>
      </c>
      <c r="AS85" s="152">
        <f t="shared" si="0"/>
        <v>0.41358893233963329</v>
      </c>
      <c r="AT85" s="152">
        <f t="shared" si="0"/>
        <v>0.64714709919545532</v>
      </c>
      <c r="AU85" s="152">
        <f t="shared" si="0"/>
        <v>3.9730911296766501E-2</v>
      </c>
      <c r="AV85" s="152">
        <f t="shared" si="0"/>
        <v>7.5015856453334792E-2</v>
      </c>
      <c r="AW85" s="152">
        <f t="shared" si="0"/>
        <v>0.14709688036786714</v>
      </c>
      <c r="AX85" s="247">
        <f t="shared" si="0"/>
        <v>7.3250382122475505E-2</v>
      </c>
      <c r="AY85" s="215">
        <f t="shared" si="0"/>
        <v>0.512615806526453</v>
      </c>
      <c r="AZ85" s="245">
        <f t="shared" si="0"/>
        <v>102.00850400488831</v>
      </c>
      <c r="BA85" s="246">
        <f>AVERAGE(BA2:BA83)</f>
        <v>161.8796529594338</v>
      </c>
      <c r="BB85" s="9"/>
      <c r="BC85" s="150" t="s">
        <v>262</v>
      </c>
      <c r="BD85" s="151">
        <v>0.34454401686874009</v>
      </c>
      <c r="BE85" s="151">
        <v>0.35310664350128235</v>
      </c>
      <c r="BF85" s="151">
        <v>0.20271493212669683</v>
      </c>
      <c r="BG85" s="151">
        <v>0.4605774799371225</v>
      </c>
      <c r="BH85" s="151">
        <v>0.85352910706858687</v>
      </c>
      <c r="BI85" s="151">
        <v>1.1012183692596064E-2</v>
      </c>
      <c r="BJ85" s="151">
        <v>0.14245548266166824</v>
      </c>
      <c r="BK85" s="151">
        <v>3.8636551667080334E-2</v>
      </c>
      <c r="BL85" s="151">
        <v>0.13038802018697773</v>
      </c>
      <c r="BM85" s="151">
        <v>0.51445404442488318</v>
      </c>
      <c r="BN85" s="165">
        <v>106.6225998808048</v>
      </c>
      <c r="BO85" s="168">
        <v>271.28051916922567</v>
      </c>
      <c r="BP85" s="9"/>
    </row>
    <row r="86" spans="1:68" x14ac:dyDescent="0.2">
      <c r="A86" s="9"/>
      <c r="B86" s="3">
        <v>1985</v>
      </c>
      <c r="C86" s="106" t="s">
        <v>124</v>
      </c>
      <c r="D86" s="98">
        <v>0.83799999999999997</v>
      </c>
      <c r="E86" s="103">
        <f>(T86-W86)/(R86-W86-Z86+AD86)</f>
        <v>0.25015566625155666</v>
      </c>
      <c r="F86" s="103">
        <f>AA86/Q86</f>
        <v>0.27406519132235907</v>
      </c>
      <c r="G86" s="103">
        <f>(U86+V86+W86)/T86</f>
        <v>0.23392145702902675</v>
      </c>
      <c r="H86" s="103">
        <f>(AA86+S86)/Q86</f>
        <v>0.35833424179657691</v>
      </c>
      <c r="I86" s="103">
        <f>(AA86/R86)+((T86+Y86+AB86)/(R86+Y86+AB86+AD86))</f>
        <v>0.59720350518276044</v>
      </c>
      <c r="J86" s="103">
        <f>W86/AA86</f>
        <v>5.9665871121718374E-2</v>
      </c>
      <c r="K86" s="103">
        <f>(AC86+AD86)/AA86</f>
        <v>8.2736674622116146E-2</v>
      </c>
      <c r="L86" s="103">
        <f>Z86/Q86</f>
        <v>0.17551509865910825</v>
      </c>
      <c r="M86" s="103">
        <f>(Y86+AB86)/Q86</f>
        <v>9.1573094952578218E-2</v>
      </c>
      <c r="N86" s="104">
        <f>(1-E86*0.7635+1-F86*0.7562+1-G86*0.75+1-H86*0.7248+1-I86*0.7021+1-J86*0.6285+K86*0.5884+L86*0.5276+1-M86*0.3663)/11.068</f>
        <v>0.52561804478164909</v>
      </c>
      <c r="O86" s="105">
        <f>N86/0.501*100</f>
        <v>104.91378139354272</v>
      </c>
      <c r="P86" s="102">
        <f>(O86-100)/100*Q86*0.6611</f>
        <v>297.98498565553734</v>
      </c>
      <c r="Q86" s="54">
        <v>9173</v>
      </c>
      <c r="R86" s="21">
        <f>Q86-Y86-AB86-AC86-AD86</f>
        <v>8125</v>
      </c>
      <c r="S86" s="19">
        <v>773</v>
      </c>
      <c r="T86" s="19">
        <v>1757</v>
      </c>
      <c r="U86" s="19">
        <v>215</v>
      </c>
      <c r="V86" s="19">
        <v>46</v>
      </c>
      <c r="W86" s="19">
        <v>150</v>
      </c>
      <c r="X86" s="19" t="s">
        <v>19</v>
      </c>
      <c r="Y86" s="54">
        <v>778</v>
      </c>
      <c r="Z86" s="19">
        <v>1610</v>
      </c>
      <c r="AA86" s="54">
        <f>T86+U86+V86*2+W86*3</f>
        <v>2514</v>
      </c>
      <c r="AB86" s="19">
        <v>62</v>
      </c>
      <c r="AC86" s="19">
        <v>149</v>
      </c>
      <c r="AD86" s="21">
        <v>59</v>
      </c>
      <c r="AE86" s="9"/>
      <c r="AF86" s="6">
        <v>1937</v>
      </c>
      <c r="AG86" s="77">
        <v>4.3101866815755681E-2</v>
      </c>
      <c r="AH86" s="85">
        <v>0.51042055975750955</v>
      </c>
      <c r="AI86" s="86">
        <v>0.49351961513558934</v>
      </c>
      <c r="AJ86" s="76">
        <v>1.1172940344011251E-2</v>
      </c>
      <c r="AK86" s="41">
        <v>3.7000000000000002E-3</v>
      </c>
      <c r="AL86" s="42">
        <v>1.6195958872397859E-2</v>
      </c>
      <c r="AM86" s="79">
        <v>7.43E-3</v>
      </c>
      <c r="AN86" s="9"/>
      <c r="AO86" s="16"/>
      <c r="AP86" s="59"/>
      <c r="AQ86" s="59"/>
      <c r="AR86" s="59"/>
      <c r="AS86" s="59"/>
      <c r="AT86" s="59"/>
      <c r="AU86" s="59"/>
      <c r="AV86" s="59"/>
      <c r="AW86" s="59"/>
      <c r="AX86" s="59"/>
      <c r="AY86" s="244" t="s">
        <v>325</v>
      </c>
      <c r="AZ86" s="245">
        <v>103.09</v>
      </c>
      <c r="BA86" s="246">
        <v>246.9935082641361</v>
      </c>
      <c r="BB86" s="9"/>
      <c r="BC86" s="150" t="s">
        <v>83</v>
      </c>
      <c r="BD86" s="151">
        <v>0.27993779160186627</v>
      </c>
      <c r="BE86" s="151">
        <v>0.40586623363442609</v>
      </c>
      <c r="BF86" s="151">
        <v>0.35823429541595925</v>
      </c>
      <c r="BG86" s="151">
        <v>0.54085050238506038</v>
      </c>
      <c r="BH86" s="151">
        <v>0.79740940146675454</v>
      </c>
      <c r="BI86" s="151">
        <v>9.4023505876469113E-2</v>
      </c>
      <c r="BJ86" s="151">
        <v>2.6256564141035259E-2</v>
      </c>
      <c r="BK86" s="151">
        <v>0.14066781690855576</v>
      </c>
      <c r="BL86" s="151">
        <v>0.10067999594032274</v>
      </c>
      <c r="BM86" s="151">
        <v>0.54068691525575086</v>
      </c>
      <c r="BN86" s="165">
        <v>108.07253952743372</v>
      </c>
      <c r="BO86" s="168">
        <v>269.55676262533319</v>
      </c>
      <c r="BP86" s="9"/>
    </row>
    <row r="87" spans="1:68" x14ac:dyDescent="0.2">
      <c r="A87" s="9"/>
      <c r="B87" s="3">
        <v>1998</v>
      </c>
      <c r="C87" s="51" t="s">
        <v>94</v>
      </c>
      <c r="D87" s="26" t="s">
        <v>19</v>
      </c>
      <c r="E87" s="72">
        <f>(T87-W87)/(R87-W87-Z87+AD87)</f>
        <v>0.30659150043365135</v>
      </c>
      <c r="F87" s="72">
        <f>AA87/Q87</f>
        <v>0.42302679217958</v>
      </c>
      <c r="G87" s="72">
        <f>(U87+V87+W87)/T87</f>
        <v>0.36692353289863661</v>
      </c>
      <c r="H87" s="72">
        <f>(AA87+X87)/Q87</f>
        <v>0.58146270818247647</v>
      </c>
      <c r="I87" s="72">
        <f>(AA87/R87)+((T87+Y87+AB87)/(R87+Y87+AB87+AD87))</f>
        <v>0.88566804407866973</v>
      </c>
      <c r="J87" s="72">
        <f>W87/AA87</f>
        <v>9.3461143444026021E-2</v>
      </c>
      <c r="K87" s="72">
        <f>(AC87+AD87)/AA87</f>
        <v>1.7459774049982883E-2</v>
      </c>
      <c r="L87" s="72">
        <f>Z87/Q87</f>
        <v>0.14641564083997102</v>
      </c>
      <c r="M87" s="72">
        <f>(Y87+AB87)/Q87</f>
        <v>0.14236060825488775</v>
      </c>
      <c r="N87" s="58">
        <f>(E87*0.7635+F87*0.7562+G87*0.75+H87*0.7248+I87*0.7021+J87*0.6285+1-K87*0.5884+1-L87*0.5276+M87*0.3663)/6.931</f>
        <v>0.56208406022792079</v>
      </c>
      <c r="O87" s="65">
        <f>N87/0.4992*100</f>
        <v>112.59696719309311</v>
      </c>
      <c r="P87" s="155">
        <f>(O87-100)/100*Q87*0.3389</f>
        <v>294.78219614909545</v>
      </c>
      <c r="Q87" s="54">
        <v>6905</v>
      </c>
      <c r="R87" s="54">
        <f>Q87-Y87-AB87-AC87-AD87</f>
        <v>5871</v>
      </c>
      <c r="S87" s="20" t="s">
        <v>19</v>
      </c>
      <c r="T87" s="19">
        <v>1687</v>
      </c>
      <c r="U87" s="19">
        <v>277</v>
      </c>
      <c r="V87" s="19">
        <v>69</v>
      </c>
      <c r="W87" s="19">
        <v>273</v>
      </c>
      <c r="X87" s="19">
        <v>1094</v>
      </c>
      <c r="Y87" s="54">
        <v>944</v>
      </c>
      <c r="Z87" s="19">
        <v>1011</v>
      </c>
      <c r="AA87" s="54">
        <f>T87+U87+V87*2+W87*3</f>
        <v>2921</v>
      </c>
      <c r="AB87" s="19">
        <v>39</v>
      </c>
      <c r="AC87" s="19">
        <v>26</v>
      </c>
      <c r="AD87" s="19">
        <v>25</v>
      </c>
      <c r="AE87" s="9"/>
      <c r="AF87" s="6">
        <v>1936</v>
      </c>
      <c r="AG87" s="77">
        <v>4.4863032423861339E-2</v>
      </c>
      <c r="AH87" s="85">
        <v>0.5137591669328182</v>
      </c>
      <c r="AI87" s="86">
        <v>0.49142891344313655</v>
      </c>
      <c r="AJ87" s="76">
        <v>1.0124482840322963E-2</v>
      </c>
      <c r="AK87" s="41">
        <v>4.3499999999999997E-3</v>
      </c>
      <c r="AL87" s="42">
        <v>1.6047897643392203E-2</v>
      </c>
      <c r="AM87" s="79">
        <v>7.8399999999999997E-3</v>
      </c>
      <c r="AN87" s="9"/>
      <c r="AO87" s="16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66"/>
      <c r="BA87" s="280"/>
      <c r="BB87" s="9"/>
      <c r="BC87" s="150" t="s">
        <v>223</v>
      </c>
      <c r="BD87" s="151">
        <v>0.30392156862745096</v>
      </c>
      <c r="BE87" s="151">
        <v>0.43340410474168434</v>
      </c>
      <c r="BF87" s="151">
        <v>0.3133570340274251</v>
      </c>
      <c r="BG87" s="151">
        <v>0.60452937013446573</v>
      </c>
      <c r="BH87" s="151">
        <v>0.87172781294553747</v>
      </c>
      <c r="BI87" s="151">
        <v>6.5969954278249504E-2</v>
      </c>
      <c r="BJ87" s="151">
        <v>3.4617896799477466E-2</v>
      </c>
      <c r="BK87" s="151">
        <v>4.0905874026893135E-2</v>
      </c>
      <c r="BL87" s="151">
        <v>0.10035385704175513</v>
      </c>
      <c r="BM87" s="151">
        <v>0.55998783531967755</v>
      </c>
      <c r="BN87" s="165">
        <v>111.13074723549863</v>
      </c>
      <c r="BO87" s="168">
        <v>266.50665332250583</v>
      </c>
      <c r="BP87" s="9"/>
    </row>
    <row r="88" spans="1:68" x14ac:dyDescent="0.2">
      <c r="A88" s="9"/>
      <c r="B88" s="3">
        <v>1945</v>
      </c>
      <c r="C88" s="51" t="s">
        <v>256</v>
      </c>
      <c r="D88" s="26" t="s">
        <v>19</v>
      </c>
      <c r="E88" s="71">
        <f>(T88-W88)/(R88-W88-Z88+AD88)</f>
        <v>0.3308623298033283</v>
      </c>
      <c r="F88" s="71">
        <f>AA88/Q88</f>
        <v>0.40474368783473602</v>
      </c>
      <c r="G88" s="71">
        <f>(U88+V88+W88)/T88</f>
        <v>0.2398604448320977</v>
      </c>
      <c r="H88" s="71">
        <f>(AA88+X88)/Q88</f>
        <v>0.57077276205049732</v>
      </c>
      <c r="I88" s="71">
        <f>(AA88/R88)+((T88+Y88+AB88)/(R88+Y88+AB88+AD88))</f>
        <v>0.84755826643785759</v>
      </c>
      <c r="J88" s="71">
        <f>W88/AA88</f>
        <v>3.3396345305608068E-2</v>
      </c>
      <c r="K88" s="71">
        <f>(AC88+AD88)/AA88</f>
        <v>7.1833648393194713E-2</v>
      </c>
      <c r="L88" s="71">
        <f>Z88/Q88</f>
        <v>3.4174955368528437E-2</v>
      </c>
      <c r="M88" s="71">
        <f>(Y88+AB88)/Q88</f>
        <v>8.8370313695485841E-2</v>
      </c>
      <c r="N88" s="57">
        <f>(E88*0.7635+F88*0.7562+G88*0.75+H88*0.7248+I88*0.7021+J88*0.6285+1-K88*0.5884+1-L88*0.5276+M88*0.3663)/6.931</f>
        <v>0.53966306156889365</v>
      </c>
      <c r="O88" s="64">
        <f>N88/0.4861*100</f>
        <v>111.01893881277385</v>
      </c>
      <c r="P88" s="155">
        <f>(O88-100)/100*Q88*0.3389</f>
        <v>292.84524607735921</v>
      </c>
      <c r="Q88" s="54">
        <v>7842</v>
      </c>
      <c r="R88" s="21">
        <f>Q88-Y88-AB88-AC88-AD88</f>
        <v>6921</v>
      </c>
      <c r="S88" s="19" t="s">
        <v>19</v>
      </c>
      <c r="T88" s="19">
        <v>2293</v>
      </c>
      <c r="U88" s="19">
        <v>325</v>
      </c>
      <c r="V88" s="19">
        <v>119</v>
      </c>
      <c r="W88" s="19">
        <v>106</v>
      </c>
      <c r="X88" s="19">
        <v>1302</v>
      </c>
      <c r="Y88" s="54">
        <v>664</v>
      </c>
      <c r="Z88" s="19">
        <v>268</v>
      </c>
      <c r="AA88" s="54">
        <f>T88+U88+V88*2+W88*3</f>
        <v>3174</v>
      </c>
      <c r="AB88" s="19">
        <v>29</v>
      </c>
      <c r="AC88" s="21">
        <v>165</v>
      </c>
      <c r="AD88" s="21">
        <v>63</v>
      </c>
      <c r="AE88" s="9"/>
      <c r="AF88" s="6">
        <v>1935</v>
      </c>
      <c r="AG88" s="77">
        <v>4.4434397323446964E-2</v>
      </c>
      <c r="AH88" s="85">
        <v>0.51052297557890802</v>
      </c>
      <c r="AI88" s="86">
        <v>0.49345548032730291</v>
      </c>
      <c r="AJ88" s="76">
        <v>1.0651957681526358E-2</v>
      </c>
      <c r="AK88" s="41">
        <v>4.1200000000000004E-3</v>
      </c>
      <c r="AL88" s="42">
        <v>1.7379509901437742E-2</v>
      </c>
      <c r="AM88" s="79">
        <v>8.4600000000000005E-3</v>
      </c>
      <c r="AN88" s="9"/>
      <c r="AZ88" s="62"/>
      <c r="BB88" s="9"/>
      <c r="BC88" s="150" t="s">
        <v>224</v>
      </c>
      <c r="BD88" s="151">
        <v>0.35004291845493563</v>
      </c>
      <c r="BE88" s="151">
        <v>0.45731964561946281</v>
      </c>
      <c r="BF88" s="151">
        <v>0.29138166894664841</v>
      </c>
      <c r="BG88" s="151">
        <v>0.60891576430881733</v>
      </c>
      <c r="BH88" s="151">
        <v>0.90310229493782934</v>
      </c>
      <c r="BI88" s="151">
        <v>4.7355473554735544E-2</v>
      </c>
      <c r="BJ88" s="151">
        <v>5.934809348093481E-2</v>
      </c>
      <c r="BK88" s="151">
        <v>6.3141611587681057E-2</v>
      </c>
      <c r="BL88" s="151">
        <v>7.6782449725776969E-2</v>
      </c>
      <c r="BM88" s="151">
        <v>0.562210907113044</v>
      </c>
      <c r="BN88" s="165">
        <v>110.78047430798898</v>
      </c>
      <c r="BO88" s="168">
        <v>259.80058005312759</v>
      </c>
      <c r="BP88" s="9"/>
    </row>
    <row r="89" spans="1:68" x14ac:dyDescent="0.2">
      <c r="A89" s="9"/>
      <c r="B89" s="3">
        <v>2006</v>
      </c>
      <c r="C89" s="51" t="s">
        <v>68</v>
      </c>
      <c r="D89" s="26" t="s">
        <v>19</v>
      </c>
      <c r="E89" s="71">
        <f>(T89-W89)/(R89-W89-Z89+AD89)</f>
        <v>0.33199415631848062</v>
      </c>
      <c r="F89" s="71">
        <f>AA89/Q89</f>
        <v>0.54313886606409201</v>
      </c>
      <c r="G89" s="71">
        <f>(U89+V89+W89)/T89</f>
        <v>0.42738970588235292</v>
      </c>
      <c r="H89" s="71">
        <f>(AA89+X89)/Q89</f>
        <v>0.78334702821144897</v>
      </c>
      <c r="I89" s="71">
        <f>(AA89/R89)+((T89+Y89+AB89)/(R89+Y89+AB89+AD89))</f>
        <v>1.0330743710066022</v>
      </c>
      <c r="J89" s="71">
        <f>W89/AA89</f>
        <v>9.0267271810388294E-2</v>
      </c>
      <c r="K89" s="71">
        <f>(AC89+AD89)/AA89</f>
        <v>4.3368633383761977E-2</v>
      </c>
      <c r="L89" s="71">
        <f>Z89/Q89</f>
        <v>7.9978088195015062E-2</v>
      </c>
      <c r="M89" s="71">
        <f>(Y89+AB89)/Q89</f>
        <v>0.10517666392769104</v>
      </c>
      <c r="N89" s="57">
        <f>(E89*0.7635+F89*0.7562+G89*0.75+H89*0.7248+I89*0.7021+J89*0.6285+1-K89*0.5884+1-L89*0.5276+M89*0.3663)/6.931</f>
        <v>0.62117696138000733</v>
      </c>
      <c r="O89" s="64">
        <f>N89/0.5038*100</f>
        <v>123.29832500595619</v>
      </c>
      <c r="P89" s="155">
        <f>(O89-100)/100*Q89*0.3389</f>
        <v>288.27574359837229</v>
      </c>
      <c r="Q89" s="54">
        <v>3651</v>
      </c>
      <c r="R89" s="21">
        <f>Q89-Y89-AB89-AC89-AD89</f>
        <v>3181</v>
      </c>
      <c r="S89" s="20" t="s">
        <v>19</v>
      </c>
      <c r="T89" s="19">
        <v>1088</v>
      </c>
      <c r="U89" s="19">
        <v>214</v>
      </c>
      <c r="V89" s="19">
        <v>72</v>
      </c>
      <c r="W89" s="19">
        <v>179</v>
      </c>
      <c r="X89" s="19">
        <v>877</v>
      </c>
      <c r="Y89" s="54">
        <v>371</v>
      </c>
      <c r="Z89" s="21">
        <v>292</v>
      </c>
      <c r="AA89" s="54">
        <f>T89+U89+V89*2+W89*3</f>
        <v>1983</v>
      </c>
      <c r="AB89" s="19">
        <v>13</v>
      </c>
      <c r="AC89" s="19">
        <v>58</v>
      </c>
      <c r="AD89" s="21">
        <v>28</v>
      </c>
      <c r="AE89" s="9"/>
      <c r="AF89" s="6">
        <v>1934</v>
      </c>
      <c r="AG89" s="77">
        <v>4.4059233940258985E-2</v>
      </c>
      <c r="AH89" s="85">
        <v>0.5073805189514653</v>
      </c>
      <c r="AI89" s="86">
        <v>0.49542334867612881</v>
      </c>
      <c r="AJ89" s="76">
        <v>9.3808982750039904E-3</v>
      </c>
      <c r="AK89" s="41">
        <v>3.5999999999999999E-3</v>
      </c>
      <c r="AL89" s="42">
        <v>1.6573859314696741E-2</v>
      </c>
      <c r="AM89" s="79">
        <v>7.9000000000000008E-3</v>
      </c>
      <c r="AN89" s="9"/>
      <c r="BB89" s="9"/>
      <c r="BC89" s="150" t="s">
        <v>122</v>
      </c>
      <c r="BD89" s="151">
        <v>0.290389527458493</v>
      </c>
      <c r="BE89" s="151">
        <v>0.40722291407222916</v>
      </c>
      <c r="BF89" s="151">
        <v>0.3393731635651322</v>
      </c>
      <c r="BG89" s="151">
        <v>0.56251556662515567</v>
      </c>
      <c r="BH89" s="151">
        <v>0.82647675912556129</v>
      </c>
      <c r="BI89" s="151">
        <v>6.8195718654434245E-2</v>
      </c>
      <c r="BJ89" s="151">
        <v>5.3822629969418959E-2</v>
      </c>
      <c r="BK89" s="151">
        <v>7.5716064757160653E-2</v>
      </c>
      <c r="BL89" s="151">
        <v>0.10211706102117062</v>
      </c>
      <c r="BM89" s="151">
        <v>0.54549333677222334</v>
      </c>
      <c r="BN89" s="165">
        <v>109.27350496238448</v>
      </c>
      <c r="BO89" s="168">
        <v>252.3661037896936</v>
      </c>
      <c r="BP89" s="9"/>
    </row>
    <row r="90" spans="1:68" x14ac:dyDescent="0.2">
      <c r="A90" s="9"/>
      <c r="B90" s="3">
        <v>1976</v>
      </c>
      <c r="C90" s="51" t="s">
        <v>154</v>
      </c>
      <c r="D90" s="26" t="s">
        <v>19</v>
      </c>
      <c r="E90" s="72">
        <f>(T90-W90)/(R90-W90-Z90+AD90)</f>
        <v>0.37254901960784315</v>
      </c>
      <c r="F90" s="72">
        <f>AA90/Q90</f>
        <v>0.51938775510204083</v>
      </c>
      <c r="G90" s="72">
        <f>(U90+V90+W90)/T90</f>
        <v>0.38359569179784592</v>
      </c>
      <c r="H90" s="72">
        <f>(AA90+X90)/Q90</f>
        <v>0.73698979591836733</v>
      </c>
      <c r="I90" s="72">
        <f>(AA90/R90)+((T90+Y90+AB90)/(R90+Y90+AB90+AD90))</f>
        <v>1.0690445424989869</v>
      </c>
      <c r="J90" s="72">
        <f>W90/AA90</f>
        <v>7.0235756385068765E-2</v>
      </c>
      <c r="K90" s="72">
        <f>(AC90+AD90)/AA90</f>
        <v>6.4341846758349711E-2</v>
      </c>
      <c r="L90" s="72">
        <f>Z90/Q90</f>
        <v>8.0102040816326534E-2</v>
      </c>
      <c r="M90" s="72">
        <f>(Y90+AB90)/Q90</f>
        <v>0.12933673469387755</v>
      </c>
      <c r="N90" s="58">
        <f>(E90*0.7635+F90*0.7562+G90*0.75+H90*0.7248+I90*0.7021+J90*0.6285+1-K90*0.5884+1-L90*0.5276+M90*0.3663)/6.931</f>
        <v>0.61478054862738185</v>
      </c>
      <c r="O90" s="65">
        <f>N90/0.5053*100</f>
        <v>121.66644540419193</v>
      </c>
      <c r="P90" s="155">
        <f>(O90-100)/100*Q90*0.3389</f>
        <v>287.83612722124133</v>
      </c>
      <c r="Q90" s="54">
        <v>3920</v>
      </c>
      <c r="R90" s="21">
        <f>Q90-Y90-AB90-AC90-AD90</f>
        <v>3282</v>
      </c>
      <c r="S90" s="20" t="s">
        <v>19</v>
      </c>
      <c r="T90" s="19">
        <v>1207</v>
      </c>
      <c r="U90" s="19">
        <v>240</v>
      </c>
      <c r="V90" s="19">
        <v>80</v>
      </c>
      <c r="W90" s="19">
        <v>143</v>
      </c>
      <c r="X90" s="19">
        <v>853</v>
      </c>
      <c r="Y90" s="54">
        <v>479</v>
      </c>
      <c r="Z90" s="21">
        <v>314</v>
      </c>
      <c r="AA90" s="54">
        <f>T90+U90+V90*2+W90*3</f>
        <v>2036</v>
      </c>
      <c r="AB90" s="19">
        <v>28</v>
      </c>
      <c r="AC90" s="19">
        <v>100</v>
      </c>
      <c r="AD90" s="21">
        <v>31</v>
      </c>
      <c r="AE90" s="9"/>
      <c r="AF90" s="6">
        <v>1933</v>
      </c>
      <c r="AG90" s="77">
        <v>4.142478456261698E-2</v>
      </c>
      <c r="AH90" s="85">
        <v>0.49801049150843257</v>
      </c>
      <c r="AI90" s="86">
        <v>0.50129104475560671</v>
      </c>
      <c r="AJ90" s="76">
        <v>1.0812248814738102E-2</v>
      </c>
      <c r="AK90" s="41">
        <v>4.0200000000000001E-3</v>
      </c>
      <c r="AL90" s="42">
        <v>1.8840676098089329E-2</v>
      </c>
      <c r="AM90" s="79">
        <v>8.5599999999999999E-3</v>
      </c>
      <c r="AN90" s="9"/>
      <c r="BB90" s="9"/>
      <c r="BC90" s="150" t="s">
        <v>27</v>
      </c>
      <c r="BD90" s="151">
        <v>0.30334881447078954</v>
      </c>
      <c r="BE90" s="151">
        <v>0.41507392715470609</v>
      </c>
      <c r="BF90" s="151">
        <v>0.32135380321004886</v>
      </c>
      <c r="BG90" s="151">
        <v>0.56184637576631802</v>
      </c>
      <c r="BH90" s="151">
        <v>0.8203548801641346</v>
      </c>
      <c r="BI90" s="151">
        <v>8.3405734144222421E-2</v>
      </c>
      <c r="BJ90" s="151">
        <v>2.3457862728062554E-2</v>
      </c>
      <c r="BK90" s="151">
        <v>0.12991345113595384</v>
      </c>
      <c r="BL90" s="151">
        <v>9.7006851785070319E-2</v>
      </c>
      <c r="BM90" s="151">
        <v>0.54469884013259751</v>
      </c>
      <c r="BN90" s="165">
        <v>106.67819039024626</v>
      </c>
      <c r="BO90" s="168">
        <v>251.03843918338433</v>
      </c>
      <c r="BP90" s="9"/>
    </row>
    <row r="91" spans="1:68" x14ac:dyDescent="0.2">
      <c r="A91" s="9"/>
      <c r="B91" s="3">
        <v>2014</v>
      </c>
      <c r="C91" s="106" t="s">
        <v>45</v>
      </c>
      <c r="D91" s="98">
        <v>0.91900000000000004</v>
      </c>
      <c r="E91" s="103">
        <f>(T91-W91)/(R91-W91-Z91+AD91)</f>
        <v>0.2846826027298332</v>
      </c>
      <c r="F91" s="103">
        <f>AA91/Q91</f>
        <v>0.33885185981509353</v>
      </c>
      <c r="G91" s="103">
        <f>(U91+V91+W91)/T91</f>
        <v>0.28338762214983715</v>
      </c>
      <c r="H91" s="103">
        <f>(AA91+S91)/Q91</f>
        <v>0.44098043431520101</v>
      </c>
      <c r="I91" s="103">
        <f>(AA91/R91)+((T91+Y91+AB91)/(R91+Y91+AB91+AD91))</f>
        <v>0.69666473887355229</v>
      </c>
      <c r="J91" s="103">
        <f>W91/AA91</f>
        <v>5.6472081218274114E-2</v>
      </c>
      <c r="K91" s="103">
        <f>(AC91+AD91)/AA91</f>
        <v>5.4092639593908629E-2</v>
      </c>
      <c r="L91" s="103">
        <f>Z91/Q91</f>
        <v>0.14013115459041067</v>
      </c>
      <c r="M91" s="103">
        <f>(Y91+AB91)/Q91</f>
        <v>8.4175446140614923E-2</v>
      </c>
      <c r="N91" s="104">
        <f>(1-E91*0.7635+1-F91*0.7562+1-G91*0.75+1-H91*0.7248+1-I91*0.7021+1-J91*0.6285+K91*0.5884+L91*0.5276+1-M91*0.3663)/11.068</f>
        <v>0.50095306696678765</v>
      </c>
      <c r="O91" s="105">
        <f>N91/0.4895*100</f>
        <v>102.3397481035317</v>
      </c>
      <c r="P91" s="102">
        <f>(O91-100)/100*Q91*0.6611</f>
        <v>287.76806195038438</v>
      </c>
      <c r="Q91" s="54">
        <v>18604</v>
      </c>
      <c r="R91" s="54">
        <f>Q91-Y91-AB91-AC91-AD91</f>
        <v>16697</v>
      </c>
      <c r="S91" s="19">
        <v>1900</v>
      </c>
      <c r="T91" s="19">
        <v>4298</v>
      </c>
      <c r="U91" s="19">
        <v>786</v>
      </c>
      <c r="V91" s="19">
        <v>76</v>
      </c>
      <c r="W91" s="19">
        <v>356</v>
      </c>
      <c r="X91" s="19" t="s">
        <v>19</v>
      </c>
      <c r="Y91" s="54">
        <v>1500</v>
      </c>
      <c r="Z91" s="19">
        <v>2607</v>
      </c>
      <c r="AA91" s="54">
        <f>T91+U91+V91*2+W91*3</f>
        <v>6304</v>
      </c>
      <c r="AB91" s="19">
        <v>66</v>
      </c>
      <c r="AC91" s="19">
        <v>228</v>
      </c>
      <c r="AD91" s="19">
        <v>113</v>
      </c>
      <c r="AE91" s="9"/>
      <c r="AF91" s="6">
        <v>1932</v>
      </c>
      <c r="AG91" s="77">
        <v>4.4727946047870622E-2</v>
      </c>
      <c r="AH91" s="85">
        <v>0.50638530498260725</v>
      </c>
      <c r="AI91" s="86">
        <v>0.49604657130154933</v>
      </c>
      <c r="AJ91" s="76">
        <v>1.1279664328061562E-2</v>
      </c>
      <c r="AK91" s="41">
        <v>3.7399999999999998E-3</v>
      </c>
      <c r="AL91" s="42">
        <v>1.7344182649022374E-2</v>
      </c>
      <c r="AM91" s="79">
        <v>7.9500000000000005E-3</v>
      </c>
      <c r="AN91" s="9"/>
      <c r="BB91" s="9"/>
      <c r="BC91" s="150" t="s">
        <v>219</v>
      </c>
      <c r="BD91" s="151">
        <v>0.30461650308978555</v>
      </c>
      <c r="BE91" s="151">
        <v>0.43068493150684933</v>
      </c>
      <c r="BF91" s="151">
        <v>0.36401673640167365</v>
      </c>
      <c r="BG91" s="151">
        <v>0.59219178082191781</v>
      </c>
      <c r="BH91" s="151">
        <v>0.86238545585980875</v>
      </c>
      <c r="BI91" s="151">
        <v>7.5063613231552168E-2</v>
      </c>
      <c r="BJ91" s="151">
        <v>5.8524173027989825E-2</v>
      </c>
      <c r="BK91" s="151">
        <v>9.5479452054794522E-2</v>
      </c>
      <c r="BL91" s="151">
        <v>0.1010958904109589</v>
      </c>
      <c r="BM91" s="151">
        <v>0.55769311097597318</v>
      </c>
      <c r="BN91" s="165">
        <v>110.1072282282277</v>
      </c>
      <c r="BO91" s="168">
        <v>250.04979419788478</v>
      </c>
      <c r="BP91" s="9"/>
    </row>
    <row r="92" spans="1:68" x14ac:dyDescent="0.2">
      <c r="A92" s="9"/>
      <c r="B92" s="3">
        <v>1947</v>
      </c>
      <c r="C92" s="106" t="s">
        <v>237</v>
      </c>
      <c r="D92" s="98">
        <v>0.87</v>
      </c>
      <c r="E92" s="103">
        <f>(T92-W92)/(R92-W92-Z92+AD92)</f>
        <v>0.27149093351242443</v>
      </c>
      <c r="F92" s="103">
        <f>AA92/Q92</f>
        <v>0.32757107164562088</v>
      </c>
      <c r="G92" s="103">
        <f>(U92+V92+W92)/T92</f>
        <v>0.23663681017047097</v>
      </c>
      <c r="H92" s="103">
        <f>(AA92+S92)/Q92</f>
        <v>0.42075764737659532</v>
      </c>
      <c r="I92" s="103">
        <f>(AA92/R92)+((T92+Y92+AB92)/(R92+Y92+AB92+AD92))</f>
        <v>0.64449774079709599</v>
      </c>
      <c r="J92" s="103">
        <f>W92/AA92</f>
        <v>4.6794475365903934E-2</v>
      </c>
      <c r="K92" s="103">
        <f>(AC92+AD92)/AA92</f>
        <v>6.7821067821067824E-2</v>
      </c>
      <c r="L92" s="103">
        <f>Z92/Q92</f>
        <v>0.11324194746437977</v>
      </c>
      <c r="M92" s="103">
        <f>(Y92+AB92)/Q92</f>
        <v>5.2535620230940647E-2</v>
      </c>
      <c r="N92" s="104">
        <f>(1-E92*0.7635+1-F92*0.7562+1-G92*0.75+1-H92*0.7248+1-I92*0.7021+1-J92*0.6285+K92*0.5884+L92*0.5276+1-M92*0.3663)/11.068</f>
        <v>0.51148003758175409</v>
      </c>
      <c r="O92" s="105">
        <f>N92/0.497*100</f>
        <v>102.913488447033</v>
      </c>
      <c r="P92" s="102">
        <f>(O92-100)/100*Q92*0.6611</f>
        <v>285.23721707447078</v>
      </c>
      <c r="Q92" s="54">
        <v>14809</v>
      </c>
      <c r="R92" s="21">
        <f>Q92-Y92-AB92-AC92-AD92</f>
        <v>13702</v>
      </c>
      <c r="S92" s="19">
        <v>1380</v>
      </c>
      <c r="T92" s="19">
        <v>3461</v>
      </c>
      <c r="U92" s="19">
        <v>475</v>
      </c>
      <c r="V92" s="19">
        <v>117</v>
      </c>
      <c r="W92" s="19">
        <v>227</v>
      </c>
      <c r="X92" s="19" t="s">
        <v>19</v>
      </c>
      <c r="Y92" s="54">
        <v>725</v>
      </c>
      <c r="Z92" s="19">
        <v>1677</v>
      </c>
      <c r="AA92" s="54">
        <f>T92+U92+V92*2+W92*3</f>
        <v>4851</v>
      </c>
      <c r="AB92" s="19">
        <v>53</v>
      </c>
      <c r="AC92" s="19">
        <v>215</v>
      </c>
      <c r="AD92" s="21">
        <v>114</v>
      </c>
      <c r="AE92" s="9"/>
      <c r="AF92" s="6">
        <v>1931</v>
      </c>
      <c r="AG92" s="77">
        <v>4.6168060594978008E-2</v>
      </c>
      <c r="AH92" s="85">
        <v>0.50644565340598002</v>
      </c>
      <c r="AI92" s="86">
        <v>0.49600877992800452</v>
      </c>
      <c r="AJ92" s="76">
        <v>1.1058390999297422E-2</v>
      </c>
      <c r="AK92" s="41">
        <v>4.2100000000000002E-3</v>
      </c>
      <c r="AL92" s="42">
        <v>1.5090998334985515E-2</v>
      </c>
      <c r="AM92" s="79">
        <v>7.5100000000000002E-3</v>
      </c>
      <c r="AN92" s="9"/>
      <c r="BB92" s="9"/>
      <c r="BC92" s="150" t="s">
        <v>126</v>
      </c>
      <c r="BD92" s="151">
        <v>0.30529509100937674</v>
      </c>
      <c r="BE92" s="151">
        <v>0.39606030593155056</v>
      </c>
      <c r="BF92" s="151">
        <v>0.30633655056651282</v>
      </c>
      <c r="BG92" s="151">
        <v>0.53956201166501594</v>
      </c>
      <c r="BH92" s="151">
        <v>0.83755372223408009</v>
      </c>
      <c r="BI92" s="151">
        <v>4.6957488191164215E-2</v>
      </c>
      <c r="BJ92" s="151">
        <v>3.9455404278966377E-2</v>
      </c>
      <c r="BK92" s="151">
        <v>5.9205458347089249E-2</v>
      </c>
      <c r="BL92" s="151">
        <v>0.11609992296687575</v>
      </c>
      <c r="BM92" s="151">
        <v>0.54235389642195619</v>
      </c>
      <c r="BN92" s="165">
        <v>107.95260677188618</v>
      </c>
      <c r="BO92" s="168">
        <v>244.90722958774364</v>
      </c>
      <c r="BP92" s="9"/>
    </row>
    <row r="93" spans="1:68" x14ac:dyDescent="0.2">
      <c r="A93" s="9"/>
      <c r="B93" s="3">
        <v>1979</v>
      </c>
      <c r="C93" s="51" t="s">
        <v>145</v>
      </c>
      <c r="D93" s="26" t="s">
        <v>19</v>
      </c>
      <c r="E93" s="71">
        <f>(T93-W93)/(R93-W93-Z93+AD93)</f>
        <v>0.31992639327024186</v>
      </c>
      <c r="F93" s="71">
        <f>AA93/Q93</f>
        <v>0.4666186791434227</v>
      </c>
      <c r="G93" s="71">
        <f>(U93+V93+W93)/T93</f>
        <v>0.39493497604380562</v>
      </c>
      <c r="H93" s="71">
        <f>(AA93+X93)/Q93</f>
        <v>0.65790894367464459</v>
      </c>
      <c r="I93" s="71">
        <f>(AA93/R93)+((T93+Y93+AB93)/(R93+Y93+AB93+AD93))</f>
        <v>0.94476421361042329</v>
      </c>
      <c r="J93" s="71">
        <f>W93/AA93</f>
        <v>9.409949865021211E-2</v>
      </c>
      <c r="K93" s="71">
        <f>(AC93+AD93)/AA93</f>
        <v>5.6305437716930196E-2</v>
      </c>
      <c r="L93" s="71">
        <f>Z93/Q93</f>
        <v>0.12830664027352889</v>
      </c>
      <c r="M93" s="71">
        <f>(Y93+AB93)/Q93</f>
        <v>0.12488752924239697</v>
      </c>
      <c r="N93" s="57">
        <f>(E93*0.7635+F93*0.7562+G93*0.75+H93*0.7248+I93*0.7021+J93*0.6285+1-K93*0.5884+1-L93*0.5276+M93*0.3663)/6.931</f>
        <v>0.5825359355239349</v>
      </c>
      <c r="O93" s="64">
        <f>N93/0.5063*100</f>
        <v>115.05746307010367</v>
      </c>
      <c r="P93" s="155">
        <f>(O93-100)/100*Q93*0.3389</f>
        <v>283.57227820883838</v>
      </c>
      <c r="Q93" s="54">
        <v>5557</v>
      </c>
      <c r="R93" s="21">
        <f>Q93-Y93-AB93-AC93-AD93</f>
        <v>4717</v>
      </c>
      <c r="S93" s="20" t="s">
        <v>19</v>
      </c>
      <c r="T93" s="19">
        <v>1461</v>
      </c>
      <c r="U93" s="19">
        <v>266</v>
      </c>
      <c r="V93" s="19">
        <v>67</v>
      </c>
      <c r="W93" s="19">
        <v>244</v>
      </c>
      <c r="X93" s="19">
        <v>1063</v>
      </c>
      <c r="Y93" s="54">
        <v>674</v>
      </c>
      <c r="Z93" s="19">
        <v>713</v>
      </c>
      <c r="AA93" s="54">
        <f>T93+U93+V93*2+W93*3</f>
        <v>2593</v>
      </c>
      <c r="AB93" s="19">
        <v>20</v>
      </c>
      <c r="AC93" s="19">
        <v>102</v>
      </c>
      <c r="AD93" s="21">
        <v>44</v>
      </c>
      <c r="AE93" s="9"/>
      <c r="AF93" s="6">
        <v>1930</v>
      </c>
      <c r="AG93" s="77">
        <v>4.6682674080626818E-2</v>
      </c>
      <c r="AH93" s="85">
        <v>0.52142892560383447</v>
      </c>
      <c r="AI93" s="86">
        <v>0.48662595921935514</v>
      </c>
      <c r="AJ93" s="76">
        <v>1.3589451956695732E-2</v>
      </c>
      <c r="AK93" s="41">
        <v>3.64E-3</v>
      </c>
      <c r="AL93" s="42">
        <v>2.6445932853110914E-2</v>
      </c>
      <c r="AM93" s="79">
        <v>7.3699999999999998E-3</v>
      </c>
      <c r="AN93" s="9"/>
      <c r="BB93" s="9"/>
      <c r="BC93" s="150" t="s">
        <v>188</v>
      </c>
      <c r="BD93" s="151">
        <v>0.27115019011406843</v>
      </c>
      <c r="BE93" s="151">
        <v>0.43679178470254959</v>
      </c>
      <c r="BF93" s="151">
        <v>0.3683083511777302</v>
      </c>
      <c r="BG93" s="151">
        <v>0.61685552407932009</v>
      </c>
      <c r="BH93" s="151">
        <v>0.86423753079927257</v>
      </c>
      <c r="BI93" s="151">
        <v>0.10539116335630321</v>
      </c>
      <c r="BJ93" s="151">
        <v>3.4860154033238749E-2</v>
      </c>
      <c r="BK93" s="151">
        <v>8.8703966005665727E-2</v>
      </c>
      <c r="BL93" s="151">
        <v>0.11260623229461757</v>
      </c>
      <c r="BM93" s="151">
        <v>0.56378711835457007</v>
      </c>
      <c r="BN93" s="165">
        <v>112.7348766955749</v>
      </c>
      <c r="BO93" s="168">
        <v>243.75919174112119</v>
      </c>
      <c r="BP93" s="9"/>
    </row>
    <row r="94" spans="1:68" x14ac:dyDescent="0.2">
      <c r="A94" s="9"/>
      <c r="B94" s="3">
        <v>1955</v>
      </c>
      <c r="C94" s="51" t="s">
        <v>220</v>
      </c>
      <c r="D94" s="26" t="s">
        <v>19</v>
      </c>
      <c r="E94" s="72">
        <f>(T94-W94)/(R94-W94-Z94+AD94)</f>
        <v>0.31325301204819278</v>
      </c>
      <c r="F94" s="72">
        <f>AA94/Q94</f>
        <v>0.39643552493634865</v>
      </c>
      <c r="G94" s="72">
        <f>(U94+V94+W94)/T94</f>
        <v>0.279651795429815</v>
      </c>
      <c r="H94" s="72">
        <f>(AA94+X94)/Q94</f>
        <v>0.54485547401527634</v>
      </c>
      <c r="I94" s="72">
        <f>(AA94/R94)+((T94+Y94+AB94)/(R94+Y94+AB94+AD94))</f>
        <v>0.80691808054848546</v>
      </c>
      <c r="J94" s="72">
        <f>W94/AA94</f>
        <v>3.6267472610502456E-2</v>
      </c>
      <c r="K94" s="72">
        <f>(AC94+AD94)/AA94</f>
        <v>7.7823951643369846E-2</v>
      </c>
      <c r="L94" s="72">
        <f>Z94/Q94</f>
        <v>5.1520143777145422E-2</v>
      </c>
      <c r="M94" s="72">
        <f>(Y94+AB94)/Q94</f>
        <v>7.832859068443912E-2</v>
      </c>
      <c r="N94" s="58">
        <f>(E94*0.7635+F94*0.7562+G94*0.75+H94*0.7248+I94*0.7021+J94*0.6285+1-K94*0.5884+1-L94*0.5276+M94*0.3663)/6.931</f>
        <v>0.5321963245486967</v>
      </c>
      <c r="O94" s="65">
        <f>N94/0.473*100</f>
        <v>112.51507918577097</v>
      </c>
      <c r="P94" s="155">
        <f>(O94-100)/100*Q94*0.3389</f>
        <v>283.19562963857811</v>
      </c>
      <c r="Q94" s="54">
        <v>6677</v>
      </c>
      <c r="R94" s="21">
        <f>Q94-Y94-AB94-AC94-AD94</f>
        <v>5948</v>
      </c>
      <c r="S94" s="20" t="s">
        <v>19</v>
      </c>
      <c r="T94" s="19">
        <v>1838</v>
      </c>
      <c r="U94" s="19">
        <v>315</v>
      </c>
      <c r="V94" s="19">
        <v>103</v>
      </c>
      <c r="W94" s="19">
        <v>96</v>
      </c>
      <c r="X94" s="19">
        <v>991</v>
      </c>
      <c r="Y94" s="54">
        <v>473</v>
      </c>
      <c r="Z94" s="19">
        <v>344</v>
      </c>
      <c r="AA94" s="54">
        <f>T94+U94+V94*2+W94*3</f>
        <v>2647</v>
      </c>
      <c r="AB94" s="19">
        <v>50</v>
      </c>
      <c r="AC94" s="19">
        <v>153</v>
      </c>
      <c r="AD94" s="21">
        <v>53</v>
      </c>
      <c r="AE94" s="9"/>
      <c r="AF94" s="6">
        <v>1929</v>
      </c>
      <c r="AG94" s="77">
        <v>4.4959780024458607E-2</v>
      </c>
      <c r="AH94" s="85">
        <v>0.51561571548353391</v>
      </c>
      <c r="AI94" s="86">
        <v>0.49026630610621846</v>
      </c>
      <c r="AJ94" s="76">
        <v>1.2221707393031576E-2</v>
      </c>
      <c r="AK94" s="41">
        <v>4.0899999999999999E-3</v>
      </c>
      <c r="AL94" s="42">
        <v>2.91072608639509E-2</v>
      </c>
      <c r="AM94" s="79">
        <v>8.09E-3</v>
      </c>
      <c r="AN94" s="9"/>
      <c r="BB94" s="9"/>
      <c r="BC94" s="150" t="s">
        <v>114</v>
      </c>
      <c r="BD94" s="151">
        <v>0.27799752781211373</v>
      </c>
      <c r="BE94" s="151">
        <v>0.34972195251125432</v>
      </c>
      <c r="BF94" s="151">
        <v>0.32300357568533972</v>
      </c>
      <c r="BG94" s="151">
        <v>0.44973077941565892</v>
      </c>
      <c r="BH94" s="151">
        <v>0.81916851533069135</v>
      </c>
      <c r="BI94" s="151">
        <v>6.7642604745078244E-2</v>
      </c>
      <c r="BJ94" s="151">
        <v>3.7102473498233215E-2</v>
      </c>
      <c r="BK94" s="151">
        <v>8.9593079706946771E-2</v>
      </c>
      <c r="BL94" s="151">
        <v>0.16815252890811191</v>
      </c>
      <c r="BM94" s="151">
        <v>0.52735158886643918</v>
      </c>
      <c r="BN94" s="165">
        <v>106.34232483695084</v>
      </c>
      <c r="BO94" s="168">
        <v>243.50709928571854</v>
      </c>
      <c r="BP94" s="9"/>
    </row>
    <row r="95" spans="1:68" x14ac:dyDescent="0.2">
      <c r="A95" s="9"/>
      <c r="B95" s="3">
        <v>1963</v>
      </c>
      <c r="C95" s="51" t="s">
        <v>204</v>
      </c>
      <c r="D95" s="26" t="s">
        <v>19</v>
      </c>
      <c r="E95" s="71">
        <f>(T95-W95)/(R95-W95-Z95+AD95)</f>
        <v>0.34086817363472693</v>
      </c>
      <c r="F95" s="71">
        <f>AA95/Q95</f>
        <v>0.38749805628984607</v>
      </c>
      <c r="G95" s="71">
        <f>(U95+V95+W95)/T95</f>
        <v>0.27397260273972601</v>
      </c>
      <c r="H95" s="71">
        <f>(AA95+X95)/Q95</f>
        <v>0.50505364640024875</v>
      </c>
      <c r="I95" s="71">
        <f>(AA95/R95)+((T95+Y95+AB95)/(R95+Y95+AB95+AD95))</f>
        <v>0.83607646756574749</v>
      </c>
      <c r="J95" s="71">
        <f>W95/AA95</f>
        <v>1.9261637239165328E-2</v>
      </c>
      <c r="K95" s="71">
        <f>(AC95+AD95)/AA95</f>
        <v>6.9823434991974312E-2</v>
      </c>
      <c r="L95" s="71">
        <f>Z95/Q95</f>
        <v>8.8166692582802048E-2</v>
      </c>
      <c r="M95" s="71">
        <f>(Y95+AB95)/Q95</f>
        <v>0.10822578137148188</v>
      </c>
      <c r="N95" s="57">
        <f>(E95*0.7635+F95*0.7562+G95*0.75+H95*0.7248+I95*0.7021+J95*0.6285+1-K95*0.5884+1-L95*0.5276+M95*0.3663)/6.931</f>
        <v>0.53036772329322279</v>
      </c>
      <c r="O95" s="64">
        <f>N95/0.4695*100</f>
        <v>112.96437130846067</v>
      </c>
      <c r="P95" s="155">
        <f>(O95-100)/100*Q95*0.3389</f>
        <v>282.55405181728412</v>
      </c>
      <c r="Q95" s="54">
        <v>6431</v>
      </c>
      <c r="R95" s="21">
        <f>Q95-Y95-AB95-AC95-AD95</f>
        <v>5561</v>
      </c>
      <c r="S95" s="20" t="s">
        <v>19</v>
      </c>
      <c r="T95" s="19">
        <v>1752</v>
      </c>
      <c r="U95" s="19">
        <v>268</v>
      </c>
      <c r="V95" s="19">
        <v>164</v>
      </c>
      <c r="W95" s="19">
        <v>48</v>
      </c>
      <c r="X95" s="19">
        <v>756</v>
      </c>
      <c r="Y95" s="54">
        <v>597</v>
      </c>
      <c r="Z95" s="19">
        <v>567</v>
      </c>
      <c r="AA95" s="54">
        <f>T95+U95+V95*2+W95*3</f>
        <v>2492</v>
      </c>
      <c r="AB95" s="19">
        <v>99</v>
      </c>
      <c r="AC95" s="19">
        <v>121</v>
      </c>
      <c r="AD95" s="21">
        <v>53</v>
      </c>
      <c r="AE95" s="9"/>
      <c r="AF95" s="6">
        <v>1928</v>
      </c>
      <c r="AG95" s="77">
        <v>4.2773475004800617E-2</v>
      </c>
      <c r="AH95" s="85">
        <v>0.50408747276185317</v>
      </c>
      <c r="AI95" s="86">
        <v>0.49748551918030326</v>
      </c>
      <c r="AJ95" s="76">
        <v>1.1977533124239903E-2</v>
      </c>
      <c r="AK95" s="41">
        <v>5.7800000000000004E-3</v>
      </c>
      <c r="AL95" s="42">
        <v>3.1396018690392373E-2</v>
      </c>
      <c r="AM95" s="79">
        <v>6.94E-3</v>
      </c>
      <c r="AN95" s="9"/>
      <c r="BB95" s="9"/>
      <c r="BC95" s="150" t="s">
        <v>93</v>
      </c>
      <c r="BD95" s="151">
        <v>0.31176329083473658</v>
      </c>
      <c r="BE95" s="151">
        <v>0.35961123110151189</v>
      </c>
      <c r="BF95" s="151">
        <v>0.25853658536585367</v>
      </c>
      <c r="BG95" s="151">
        <v>0.50098173964264681</v>
      </c>
      <c r="BH95" s="151">
        <v>0.77399490710540331</v>
      </c>
      <c r="BI95" s="151">
        <v>1.992901992901993E-2</v>
      </c>
      <c r="BJ95" s="151">
        <v>8.7087087087087081E-2</v>
      </c>
      <c r="BK95" s="151">
        <v>6.0180640094247007E-2</v>
      </c>
      <c r="BL95" s="151">
        <v>9.316709208717848E-2</v>
      </c>
      <c r="BM95" s="151">
        <v>0.51566357824390774</v>
      </c>
      <c r="BN95" s="165">
        <v>107.05077397631466</v>
      </c>
      <c r="BO95" s="168">
        <v>243.39521363636962</v>
      </c>
      <c r="BP95" s="9"/>
    </row>
    <row r="96" spans="1:68" x14ac:dyDescent="0.2">
      <c r="A96" s="9"/>
      <c r="B96" s="3">
        <v>1992</v>
      </c>
      <c r="C96" s="106" t="s">
        <v>107</v>
      </c>
      <c r="D96" s="98">
        <v>0.98799999999999999</v>
      </c>
      <c r="E96" s="103">
        <f>(T96-W96)/(R96-W96-Z96+AD96)</f>
        <v>0.26219334112149534</v>
      </c>
      <c r="F96" s="103">
        <f>AA96/Q96</f>
        <v>0.31111570034591357</v>
      </c>
      <c r="G96" s="103">
        <f>(U96+V96+W96)/T96</f>
        <v>0.29589524049357846</v>
      </c>
      <c r="H96" s="103">
        <f>(AA96+S96)/Q96</f>
        <v>0.39754246476328153</v>
      </c>
      <c r="I96" s="103">
        <f>(AA96/R96)+((T96+Y96+AB96)/(R96+Y96+AB96+AD96))</f>
        <v>0.62573193337702304</v>
      </c>
      <c r="J96" s="103">
        <f>W96/AA96</f>
        <v>6.3060073016926649E-2</v>
      </c>
      <c r="K96" s="103">
        <f>(AC96+AD96)/AA96</f>
        <v>4.9452373050116162E-2</v>
      </c>
      <c r="L96" s="103">
        <f>Z96/Q96</f>
        <v>0.187929165160824</v>
      </c>
      <c r="M96" s="103">
        <f>(Y96+AB96)/Q96</f>
        <v>7.5687954979606592E-2</v>
      </c>
      <c r="N96" s="104">
        <f>(1-E96*0.7635+1-F96*0.7562+1-G96*0.75+1-H96*0.7248+1-I96*0.7021+1-J96*0.6285+K96*0.5884+L96*0.5276+1-M96*0.3663)/11.068</f>
        <v>0.51283470746647197</v>
      </c>
      <c r="O96" s="105">
        <f>N96/0.5018*100</f>
        <v>102.19902500328257</v>
      </c>
      <c r="P96" s="102">
        <f>(O96-100)/100*Q96*0.6611</f>
        <v>281.58176297280323</v>
      </c>
      <c r="Q96" s="54">
        <v>19369</v>
      </c>
      <c r="R96" s="54">
        <f>Q96-Y96-AB96-AC96-AD96</f>
        <v>17605</v>
      </c>
      <c r="S96" s="19">
        <v>1674</v>
      </c>
      <c r="T96" s="19">
        <v>3971</v>
      </c>
      <c r="U96" s="19">
        <v>675</v>
      </c>
      <c r="V96" s="19">
        <v>120</v>
      </c>
      <c r="W96" s="19">
        <v>380</v>
      </c>
      <c r="X96" s="19" t="s">
        <v>19</v>
      </c>
      <c r="Y96" s="54">
        <v>1390</v>
      </c>
      <c r="Z96" s="19">
        <v>3640</v>
      </c>
      <c r="AA96" s="54">
        <f>T96+U96+V96*2+W96*3</f>
        <v>6026</v>
      </c>
      <c r="AB96" s="19">
        <v>76</v>
      </c>
      <c r="AC96" s="19">
        <v>187</v>
      </c>
      <c r="AD96" s="19">
        <v>111</v>
      </c>
      <c r="AE96" s="9"/>
      <c r="AF96" s="6">
        <v>1927</v>
      </c>
      <c r="AG96" s="77">
        <v>4.1507910288881546E-2</v>
      </c>
      <c r="AH96" s="85">
        <v>0.50208094711236639</v>
      </c>
      <c r="AI96" s="86">
        <v>0.49874204513590426</v>
      </c>
      <c r="AJ96" s="76">
        <v>1.2348126124141981E-2</v>
      </c>
      <c r="AK96" s="41">
        <v>4.5500000000000002E-3</v>
      </c>
      <c r="AL96" s="42">
        <v>3.2735014499137391E-2</v>
      </c>
      <c r="AM96" s="79">
        <v>7.0600000000000003E-3</v>
      </c>
      <c r="AN96" s="9"/>
      <c r="BB96" s="9"/>
      <c r="BC96" s="150" t="s">
        <v>201</v>
      </c>
      <c r="BD96" s="151">
        <v>0.33504510756419154</v>
      </c>
      <c r="BE96" s="151">
        <v>0.43516979339824269</v>
      </c>
      <c r="BF96" s="151">
        <v>0.30150554675118857</v>
      </c>
      <c r="BG96" s="151">
        <v>0.57563524103538355</v>
      </c>
      <c r="BH96" s="151">
        <v>0.85901416509007456</v>
      </c>
      <c r="BI96" s="151">
        <v>3.0013642564802184E-2</v>
      </c>
      <c r="BJ96" s="151">
        <v>6.8758526603001358E-2</v>
      </c>
      <c r="BK96" s="151">
        <v>4.0964141534077417E-2</v>
      </c>
      <c r="BL96" s="151">
        <v>6.8392305865590128E-2</v>
      </c>
      <c r="BM96" s="151">
        <v>0.55016465781742163</v>
      </c>
      <c r="BN96" s="165">
        <v>108.44956787254519</v>
      </c>
      <c r="BO96" s="168">
        <v>241.16890124990863</v>
      </c>
      <c r="BP96" s="9"/>
    </row>
    <row r="97" spans="1:68" x14ac:dyDescent="0.2">
      <c r="A97" s="9"/>
      <c r="B97" s="3">
        <v>1945</v>
      </c>
      <c r="C97" s="51" t="s">
        <v>253</v>
      </c>
      <c r="D97" s="26" t="s">
        <v>19</v>
      </c>
      <c r="E97" s="72">
        <f>(T97-W97)/(R97-W97-Z97+AD97)</f>
        <v>0.3252366716492277</v>
      </c>
      <c r="F97" s="72">
        <f>AA97/Q97</f>
        <v>0.37322515212981744</v>
      </c>
      <c r="G97" s="72">
        <f>(U97+V97+W97)/T97</f>
        <v>0.2419716206123973</v>
      </c>
      <c r="H97" s="72">
        <f>(AA97+X97)/Q97</f>
        <v>0.4761663286004057</v>
      </c>
      <c r="I97" s="72">
        <f>(AA97/R97)+((T97+Y97+AB97)/(R97+Y97+AB97+AD97))</f>
        <v>0.81636404825874664</v>
      </c>
      <c r="J97" s="72">
        <f>W97/AA97</f>
        <v>1.8206521739130434E-2</v>
      </c>
      <c r="K97" s="72">
        <f>(AC97+AD97)/AA97</f>
        <v>8.2880434782608689E-2</v>
      </c>
      <c r="L97" s="72">
        <f>Z97/Q97</f>
        <v>5.1825557809330632E-2</v>
      </c>
      <c r="M97" s="72">
        <f>(Y97+AB97)/Q97</f>
        <v>0.10436105476673428</v>
      </c>
      <c r="N97" s="58">
        <f>(E97*0.7635+F97*0.7562+G97*0.75+H97*0.7248+I97*0.7021+J97*0.6285+1-K97*0.5884+1-L97*0.5276+M97*0.3663)/6.931</f>
        <v>0.51996603213156822</v>
      </c>
      <c r="O97" s="65">
        <f>N97/0.4796*100</f>
        <v>108.41660386396335</v>
      </c>
      <c r="P97" s="155">
        <f>(O97-100)/100*Q97*0.3389</f>
        <v>281.24536308042173</v>
      </c>
      <c r="Q97" s="54">
        <v>9860</v>
      </c>
      <c r="R97" s="21">
        <f>Q97-Y97-AB97-AC97-AD97</f>
        <v>8526</v>
      </c>
      <c r="S97" s="19" t="s">
        <v>19</v>
      </c>
      <c r="T97" s="19">
        <v>2678</v>
      </c>
      <c r="U97" s="19">
        <v>361</v>
      </c>
      <c r="V97" s="19">
        <v>220</v>
      </c>
      <c r="W97" s="19">
        <v>67</v>
      </c>
      <c r="X97" s="19">
        <v>1015</v>
      </c>
      <c r="Y97" s="54">
        <v>875</v>
      </c>
      <c r="Z97" s="19">
        <v>511</v>
      </c>
      <c r="AA97" s="54">
        <f>T97+U97+V97*2+W97*3</f>
        <v>3680</v>
      </c>
      <c r="AB97" s="19">
        <v>154</v>
      </c>
      <c r="AC97" s="19">
        <v>225</v>
      </c>
      <c r="AD97" s="21">
        <v>80</v>
      </c>
      <c r="AE97" s="9"/>
      <c r="AF97" s="6">
        <v>1926</v>
      </c>
      <c r="AG97" s="77">
        <v>4.199722860927959E-2</v>
      </c>
      <c r="AH97" s="85">
        <v>0.50117310996833053</v>
      </c>
      <c r="AI97" s="86">
        <v>0.49931055066945251</v>
      </c>
      <c r="AJ97" s="76">
        <v>1.2280915472583028E-2</v>
      </c>
      <c r="AK97" s="41">
        <v>6.4900000000000001E-3</v>
      </c>
      <c r="AL97" s="42">
        <v>3.3172937826437848E-2</v>
      </c>
      <c r="AM97" s="79">
        <v>7.1000000000000004E-3</v>
      </c>
      <c r="AN97" s="9"/>
      <c r="BB97" s="9"/>
      <c r="BC97" s="150" t="s">
        <v>98</v>
      </c>
      <c r="BD97" s="151">
        <v>0.33850204798127559</v>
      </c>
      <c r="BE97" s="151">
        <v>0.46386073159982372</v>
      </c>
      <c r="BF97" s="151">
        <v>0.35697764070932925</v>
      </c>
      <c r="BG97" s="151">
        <v>0.65755839576906128</v>
      </c>
      <c r="BH97" s="151">
        <v>0.95029753194810263</v>
      </c>
      <c r="BI97" s="151">
        <v>6.6508313539192399E-2</v>
      </c>
      <c r="BJ97" s="151">
        <v>6.4608076009501192E-2</v>
      </c>
      <c r="BK97" s="151">
        <v>7.9991185544292645E-2</v>
      </c>
      <c r="BL97" s="151">
        <v>0.11370647862494491</v>
      </c>
      <c r="BM97" s="151">
        <v>0.58057793516061262</v>
      </c>
      <c r="BN97" s="165">
        <v>115.60691659908655</v>
      </c>
      <c r="BO97" s="168">
        <v>240.02317152783291</v>
      </c>
      <c r="BP97" s="9"/>
    </row>
    <row r="98" spans="1:68" x14ac:dyDescent="0.2">
      <c r="A98" s="9"/>
      <c r="B98" s="3">
        <v>1972</v>
      </c>
      <c r="C98" s="51" t="s">
        <v>173</v>
      </c>
      <c r="D98" s="26" t="s">
        <v>19</v>
      </c>
      <c r="E98" s="71">
        <f>(T98-W98)/(R98-W98-Z98+AD98)</f>
        <v>0.35830072666294022</v>
      </c>
      <c r="F98" s="128">
        <f>AA98/Q98</f>
        <v>0.61688570290720823</v>
      </c>
      <c r="G98" s="71">
        <f>(U98+V98+W98)/T98</f>
        <v>0.44044665012406947</v>
      </c>
      <c r="H98" s="128">
        <f>(AA98+X98)/Q98</f>
        <v>0.90561529271206687</v>
      </c>
      <c r="I98" s="128">
        <f>(AA98/R98)+((T98+Y98+AB98)/(R98+Y98+AB98+AD98))</f>
        <v>1.1832025330931755</v>
      </c>
      <c r="J98" s="71">
        <f>W98/AA98</f>
        <v>0.1065203357004519</v>
      </c>
      <c r="K98" s="71">
        <f>(AC98+AD98)/AA98</f>
        <v>2.6468689477081989E-2</v>
      </c>
      <c r="L98" s="71">
        <f>Z98/Q98</f>
        <v>8.0047789725209081E-2</v>
      </c>
      <c r="M98" s="71">
        <f>(Y98+AB98)/Q98</f>
        <v>0.13301473516527279</v>
      </c>
      <c r="N98" s="235">
        <f>(E98*0.7635+F98*0.7562+G98*0.75+H98*0.7248+I98*0.7021+J98*0.6285+1-K98*0.5884+1-L98*0.5276+M98*0.3663)/6.931</f>
        <v>0.66590202875667304</v>
      </c>
      <c r="O98" s="238">
        <f>N98/0.5012*100</f>
        <v>132.86153805999064</v>
      </c>
      <c r="P98" s="155">
        <f>(O98-100)/100*Q98*0.3389</f>
        <v>279.64442649060902</v>
      </c>
      <c r="Q98" s="54">
        <v>2511</v>
      </c>
      <c r="R98" s="21">
        <f>Q98-Y98-AB98-AC98-AD98</f>
        <v>2136</v>
      </c>
      <c r="S98" s="20" t="s">
        <v>19</v>
      </c>
      <c r="T98" s="19">
        <v>806</v>
      </c>
      <c r="U98" s="19">
        <v>132</v>
      </c>
      <c r="V98" s="19">
        <v>58</v>
      </c>
      <c r="W98" s="19">
        <v>165</v>
      </c>
      <c r="X98" s="19">
        <v>725</v>
      </c>
      <c r="Y98" s="54">
        <v>330</v>
      </c>
      <c r="Z98" s="21">
        <v>201</v>
      </c>
      <c r="AA98" s="54">
        <f>T98+U98+V98*2+W98*3</f>
        <v>1549</v>
      </c>
      <c r="AB98" s="19">
        <v>4</v>
      </c>
      <c r="AC98" s="19">
        <v>22</v>
      </c>
      <c r="AD98" s="21">
        <v>19</v>
      </c>
      <c r="AE98" s="9"/>
      <c r="AF98" s="6">
        <v>1925</v>
      </c>
      <c r="AG98" s="77">
        <v>4.2740124190778175E-2</v>
      </c>
      <c r="AH98" s="85">
        <v>0.51077148304846776</v>
      </c>
      <c r="AI98" s="86">
        <v>0.49329986004617543</v>
      </c>
      <c r="AJ98" s="76">
        <v>1.2338339131838934E-2</v>
      </c>
      <c r="AK98" s="41">
        <v>3.63E-3</v>
      </c>
      <c r="AL98" s="42">
        <v>2.8625533976306867E-2</v>
      </c>
      <c r="AM98" s="79">
        <v>8.7100000000000007E-3</v>
      </c>
      <c r="AN98" s="9"/>
      <c r="BB98" s="9"/>
      <c r="BC98" s="150" t="s">
        <v>22</v>
      </c>
      <c r="BD98" s="151">
        <v>0.28374585353406478</v>
      </c>
      <c r="BE98" s="151">
        <v>0.391636551368095</v>
      </c>
      <c r="BF98" s="151">
        <v>0.31472491909385114</v>
      </c>
      <c r="BG98" s="151">
        <v>0.53505420753742905</v>
      </c>
      <c r="BH98" s="151">
        <v>0.78492450665901958</v>
      </c>
      <c r="BI98" s="151">
        <v>6.5383601370946481E-2</v>
      </c>
      <c r="BJ98" s="151">
        <v>2.9264434484576853E-2</v>
      </c>
      <c r="BK98" s="151">
        <v>7.1657201858544142E-2</v>
      </c>
      <c r="BL98" s="151">
        <v>9.2307692307692313E-2</v>
      </c>
      <c r="BM98" s="151">
        <v>0.53493325098676681</v>
      </c>
      <c r="BN98" s="165">
        <v>107.26554060292095</v>
      </c>
      <c r="BO98" s="168">
        <v>238.47295214545179</v>
      </c>
      <c r="BP98" s="9"/>
    </row>
    <row r="99" spans="1:68" x14ac:dyDescent="0.2">
      <c r="A99" s="9"/>
      <c r="B99" s="3">
        <v>1946</v>
      </c>
      <c r="C99" s="51" t="s">
        <v>241</v>
      </c>
      <c r="D99" s="26" t="s">
        <v>19</v>
      </c>
      <c r="E99" s="71">
        <f>(T99-W99)/(R99-W99-Z99+AD99)</f>
        <v>0.35922330097087379</v>
      </c>
      <c r="F99" s="71">
        <f>AA99/Q99</f>
        <v>0.39038321736421228</v>
      </c>
      <c r="G99" s="71">
        <f>(U99+V99+W99)/T99</f>
        <v>0.2024561403508772</v>
      </c>
      <c r="H99" s="71">
        <f>(AA99+X99)/Q99</f>
        <v>0.48925122027209472</v>
      </c>
      <c r="I99" s="71">
        <f>(AA99/R99)+((T99+Y99+AB99)/(R99+Y99+AB99+AD99))</f>
        <v>0.86645686098673935</v>
      </c>
      <c r="J99" s="71">
        <f>W99/AA99</f>
        <v>1.9952114924181964E-2</v>
      </c>
      <c r="K99" s="71">
        <f>(AC99+AD99)/AA99</f>
        <v>5.0545357807927641E-2</v>
      </c>
      <c r="L99" s="71">
        <f>Z99/Q99</f>
        <v>6.3661854813583968E-2</v>
      </c>
      <c r="M99" s="71">
        <f>(Y99+AB99)/Q99</f>
        <v>0.11465365043098971</v>
      </c>
      <c r="N99" s="57">
        <f>(E99*0.7635+F99*0.7562+G99*0.75+H99*0.7248+I99*0.7021+J99*0.6285+1-K99*0.5884+1-L99*0.5276+M99*0.3663)/6.931</f>
        <v>0.53029493353428503</v>
      </c>
      <c r="O99" s="64">
        <f>N99/0.4889*100</f>
        <v>108.46695306489774</v>
      </c>
      <c r="P99" s="155">
        <f>(O99-100)/100*Q99*0.3389</f>
        <v>276.29937840878011</v>
      </c>
      <c r="Q99" s="54">
        <v>9629</v>
      </c>
      <c r="R99" s="21">
        <f>Q99-Y99-AB99-AC99-AD99</f>
        <v>8335</v>
      </c>
      <c r="S99" s="19" t="s">
        <v>19</v>
      </c>
      <c r="T99" s="19">
        <v>2850</v>
      </c>
      <c r="U99" s="19">
        <v>320</v>
      </c>
      <c r="V99" s="19">
        <v>182</v>
      </c>
      <c r="W99" s="19">
        <v>75</v>
      </c>
      <c r="X99" s="19">
        <v>952</v>
      </c>
      <c r="Y99" s="54">
        <v>1029</v>
      </c>
      <c r="Z99" s="19">
        <v>613</v>
      </c>
      <c r="AA99" s="54">
        <f>T99+U99+V99*2+W99*3</f>
        <v>3759</v>
      </c>
      <c r="AB99" s="19">
        <v>75</v>
      </c>
      <c r="AC99" s="21">
        <v>112</v>
      </c>
      <c r="AD99" s="21">
        <v>78</v>
      </c>
      <c r="AE99" s="9"/>
      <c r="AF99" s="6">
        <v>1924</v>
      </c>
      <c r="AG99" s="77">
        <v>4.0543093091958624E-2</v>
      </c>
      <c r="AH99" s="85">
        <v>0.50040853483148517</v>
      </c>
      <c r="AI99" s="86">
        <v>0.49978934270717174</v>
      </c>
      <c r="AJ99" s="76">
        <v>1.2345772290767871E-2</v>
      </c>
      <c r="AK99" s="41">
        <v>5.7299999999999999E-3</v>
      </c>
      <c r="AL99" s="42">
        <v>2.8831987185783472E-2</v>
      </c>
      <c r="AM99" s="79">
        <v>7.9799999999999992E-3</v>
      </c>
      <c r="AN99" s="9"/>
      <c r="BB99" s="9"/>
      <c r="BC99" s="150" t="s">
        <v>265</v>
      </c>
      <c r="BD99" s="151">
        <v>0.320280296784831</v>
      </c>
      <c r="BE99" s="151">
        <v>0.42342342342342343</v>
      </c>
      <c r="BF99" s="151">
        <v>0.30707692307692308</v>
      </c>
      <c r="BG99" s="151">
        <v>0.57640332640332637</v>
      </c>
      <c r="BH99" s="151">
        <v>0.83757894079172313</v>
      </c>
      <c r="BI99" s="151">
        <v>2.9050736497545009E-2</v>
      </c>
      <c r="BJ99" s="151">
        <v>6.5466448445171854E-2</v>
      </c>
      <c r="BK99" s="151">
        <v>5.0935550935550938E-2</v>
      </c>
      <c r="BL99" s="151">
        <v>7.623007623007623E-2</v>
      </c>
      <c r="BM99" s="151">
        <v>0.54561581400602388</v>
      </c>
      <c r="BN99" s="165">
        <v>111.99010960714774</v>
      </c>
      <c r="BO99" s="168">
        <v>234.54222697917601</v>
      </c>
      <c r="BP99" s="9"/>
    </row>
    <row r="100" spans="1:68" x14ac:dyDescent="0.2">
      <c r="A100" s="9"/>
      <c r="B100" s="3">
        <v>1945</v>
      </c>
      <c r="C100" s="51" t="s">
        <v>258</v>
      </c>
      <c r="D100" s="26" t="s">
        <v>19</v>
      </c>
      <c r="E100" s="71">
        <f>(T100-W100)/(R100-W100-Z100+AD100)</f>
        <v>0.33295150820924019</v>
      </c>
      <c r="F100" s="71">
        <f>AA100/Q100</f>
        <v>0.40003097413659594</v>
      </c>
      <c r="G100" s="71">
        <f>(U100+V100+W100)/T100</f>
        <v>0.29233314947600664</v>
      </c>
      <c r="H100" s="71">
        <f>(AA100+X100)/Q100</f>
        <v>0.54715812296732225</v>
      </c>
      <c r="I100" s="71">
        <f>(AA100/R100)+((T100+Y100+AB100)/(R100+Y100+AB100+AD100))</f>
        <v>0.83654074446419302</v>
      </c>
      <c r="J100" s="71">
        <f>W100/AA100</f>
        <v>2.6713124274099883E-2</v>
      </c>
      <c r="K100" s="71">
        <f>(AC100+AD100)/AA100</f>
        <v>7.1622144792876499E-2</v>
      </c>
      <c r="L100" s="71">
        <f>Z100/Q100</f>
        <v>6.4735945485519586E-2</v>
      </c>
      <c r="M100" s="71">
        <f>(Y100+AB100)/Q100</f>
        <v>9.2612668421867744E-2</v>
      </c>
      <c r="N100" s="57">
        <f>(E100*0.7635+F100*0.7562+G100*0.75+H100*0.7248+I100*0.7021+J100*0.6285+1-K100*0.5884+1-L100*0.5276+M100*0.3663)/6.931</f>
        <v>0.53878131434090204</v>
      </c>
      <c r="O100" s="64">
        <f>N100/0.4785*100</f>
        <v>112.59797582881966</v>
      </c>
      <c r="P100" s="155">
        <f>(O100-100)/100*Q100*0.3389</f>
        <v>275.67864532154738</v>
      </c>
      <c r="Q100" s="54">
        <v>6457</v>
      </c>
      <c r="R100" s="21">
        <f>Q100-Y100-AB100-AC100-AD100</f>
        <v>5674</v>
      </c>
      <c r="S100" s="19" t="s">
        <v>19</v>
      </c>
      <c r="T100" s="19">
        <v>1813</v>
      </c>
      <c r="U100" s="19">
        <v>359</v>
      </c>
      <c r="V100" s="19">
        <v>102</v>
      </c>
      <c r="W100" s="19">
        <v>69</v>
      </c>
      <c r="X100" s="19">
        <v>950</v>
      </c>
      <c r="Y100" s="54">
        <v>549</v>
      </c>
      <c r="Z100" s="19">
        <v>418</v>
      </c>
      <c r="AA100" s="54">
        <f>T100+U100+V100*2+W100*3</f>
        <v>2583</v>
      </c>
      <c r="AB100" s="21">
        <v>49</v>
      </c>
      <c r="AC100" s="21">
        <v>134</v>
      </c>
      <c r="AD100" s="21">
        <v>51</v>
      </c>
      <c r="AE100" s="9"/>
      <c r="AF100" s="6">
        <v>1923</v>
      </c>
      <c r="AG100" s="77">
        <v>3.9757617350480008E-2</v>
      </c>
      <c r="AH100" s="85">
        <v>0.50156557710401561</v>
      </c>
      <c r="AI100" s="86">
        <v>0.4990647800047045</v>
      </c>
      <c r="AJ100" s="76">
        <v>1.2002152432794965E-2</v>
      </c>
      <c r="AK100" s="41">
        <v>6.3699999999999998E-3</v>
      </c>
      <c r="AL100" s="42">
        <v>2.9783118999898616E-2</v>
      </c>
      <c r="AM100" s="79">
        <v>8.4600000000000005E-3</v>
      </c>
      <c r="AN100" s="9"/>
      <c r="BB100" s="9"/>
      <c r="BC100" s="150" t="s">
        <v>179</v>
      </c>
      <c r="BD100" s="151">
        <v>0.32656132430398799</v>
      </c>
      <c r="BE100" s="151">
        <v>0.47556684910086006</v>
      </c>
      <c r="BF100" s="151">
        <v>0.39017735334242837</v>
      </c>
      <c r="BG100" s="151">
        <v>0.63838936669272872</v>
      </c>
      <c r="BH100" s="151">
        <v>0.90204289873409182</v>
      </c>
      <c r="BI100" s="151">
        <v>6.7406494040279485E-2</v>
      </c>
      <c r="BJ100" s="151">
        <v>5.0554870530209621E-2</v>
      </c>
      <c r="BK100" s="151">
        <v>9.3236903831118059E-2</v>
      </c>
      <c r="BL100" s="151">
        <v>7.9163408913213454E-2</v>
      </c>
      <c r="BM100" s="151">
        <v>0.57568019499221401</v>
      </c>
      <c r="BN100" s="165">
        <v>113.38983553126137</v>
      </c>
      <c r="BO100" s="168">
        <v>232.15462878061547</v>
      </c>
      <c r="BP100" s="9"/>
    </row>
    <row r="101" spans="1:68" x14ac:dyDescent="0.2">
      <c r="A101" s="9"/>
      <c r="B101" s="3">
        <v>1973</v>
      </c>
      <c r="C101" s="106" t="s">
        <v>166</v>
      </c>
      <c r="D101" s="98">
        <v>0.83199999999999996</v>
      </c>
      <c r="E101" s="99">
        <f>(T101-W101)/(R101-W101-Z101+AD101)</f>
        <v>0.26099863444754495</v>
      </c>
      <c r="F101" s="99">
        <f>AA101/Q101</f>
        <v>0.32790535838552543</v>
      </c>
      <c r="G101" s="99">
        <f>(U101+V101+W101)/T101</f>
        <v>0.25507246376811593</v>
      </c>
      <c r="H101" s="99">
        <f>(AA101+S101)/Q101</f>
        <v>0.42143354210160056</v>
      </c>
      <c r="I101" s="99">
        <f>(AA101/R101)+((T101+Y101+AB101)/(R101+Y101+AB101+AD101))</f>
        <v>0.65364779739446144</v>
      </c>
      <c r="J101" s="99">
        <f>W101/AA101</f>
        <v>6.1403508771929821E-2</v>
      </c>
      <c r="K101" s="99">
        <f>(AC101+AD101)/AA101</f>
        <v>4.8245614035087717E-2</v>
      </c>
      <c r="L101" s="99">
        <f>Z101/Q101</f>
        <v>0.11983298538622129</v>
      </c>
      <c r="M101" s="99">
        <f>(Y101+AB101)/Q101</f>
        <v>6.8475991649269305E-2</v>
      </c>
      <c r="N101" s="100">
        <f>(1-E101*0.7635+1-F101*0.7562+1-G101*0.75+1-H101*0.7248+1-I101*0.7021+1-J101*0.6285+K101*0.5884+L101*0.5276+1-M101*0.3663)/11.068</f>
        <v>0.50822341473436172</v>
      </c>
      <c r="O101" s="101">
        <f>N101/0.4986*100</f>
        <v>101.93008719100716</v>
      </c>
      <c r="P101" s="102">
        <f>(O101-100)/100*Q101*0.6611</f>
        <v>275.03762737767545</v>
      </c>
      <c r="Q101" s="54">
        <v>21555</v>
      </c>
      <c r="R101" s="21">
        <f>Q101-Y101-AB101-AC101-AD101</f>
        <v>19738</v>
      </c>
      <c r="S101" s="19">
        <v>2016</v>
      </c>
      <c r="T101" s="19">
        <v>4830</v>
      </c>
      <c r="U101" s="19">
        <v>660</v>
      </c>
      <c r="V101" s="19">
        <v>138</v>
      </c>
      <c r="W101" s="19">
        <v>434</v>
      </c>
      <c r="X101" s="19" t="s">
        <v>19</v>
      </c>
      <c r="Y101" s="54">
        <v>1434</v>
      </c>
      <c r="Z101" s="19">
        <v>2583</v>
      </c>
      <c r="AA101" s="54">
        <f>T101+U101+V101*2+W101*3</f>
        <v>7068</v>
      </c>
      <c r="AB101" s="19">
        <v>42</v>
      </c>
      <c r="AC101" s="19">
        <v>219</v>
      </c>
      <c r="AD101" s="21">
        <v>122</v>
      </c>
      <c r="AE101" s="9"/>
      <c r="AF101" s="6">
        <v>1922</v>
      </c>
      <c r="AG101" s="77">
        <v>4.0465025566230529E-2</v>
      </c>
      <c r="AH101" s="85">
        <v>0.5042815418668759</v>
      </c>
      <c r="AI101" s="86">
        <v>0.49736398927725717</v>
      </c>
      <c r="AJ101" s="76">
        <v>1.2982387707858117E-2</v>
      </c>
      <c r="AK101" s="41">
        <v>6.4999999999999997E-3</v>
      </c>
      <c r="AL101" s="42">
        <v>3.13324118749417E-2</v>
      </c>
      <c r="AM101" s="79">
        <v>8.4600000000000005E-3</v>
      </c>
      <c r="AN101" s="9"/>
      <c r="BB101" s="9"/>
      <c r="BC101" s="150" t="s">
        <v>57</v>
      </c>
      <c r="BD101" s="151">
        <v>0.27690605511969424</v>
      </c>
      <c r="BE101" s="151">
        <v>0.40114880074516807</v>
      </c>
      <c r="BF101" s="151">
        <v>0.33856783919597988</v>
      </c>
      <c r="BG101" s="151">
        <v>0.53271753473569816</v>
      </c>
      <c r="BH101" s="151">
        <v>0.78757649759065851</v>
      </c>
      <c r="BI101" s="151">
        <v>8.3397832817337467E-2</v>
      </c>
      <c r="BJ101" s="151">
        <v>2.6509287925696595E-2</v>
      </c>
      <c r="BK101" s="151">
        <v>0.1012962819219126</v>
      </c>
      <c r="BL101" s="151">
        <v>9.2757898005123032E-2</v>
      </c>
      <c r="BM101" s="151">
        <v>0.53745697249266977</v>
      </c>
      <c r="BN101" s="165">
        <v>105.1774897245929</v>
      </c>
      <c r="BO101" s="168">
        <v>226.051722813222</v>
      </c>
      <c r="BP101" s="9"/>
    </row>
    <row r="102" spans="1:68" x14ac:dyDescent="0.2">
      <c r="A102" s="9"/>
      <c r="B102" s="3">
        <v>1939</v>
      </c>
      <c r="C102" s="51" t="s">
        <v>262</v>
      </c>
      <c r="D102" s="26">
        <v>0.77700000000000002</v>
      </c>
      <c r="E102" s="71">
        <f>(T102-W102)/(R102-W102-Z102+AD102)</f>
        <v>0.34454401686874009</v>
      </c>
      <c r="F102" s="71">
        <f>AA102/Q102</f>
        <v>0.35310664350128235</v>
      </c>
      <c r="G102" s="71">
        <f>(U102+V102+W102)/T102</f>
        <v>0.20271493212669683</v>
      </c>
      <c r="H102" s="71">
        <f>(AA102+X102)/Q102</f>
        <v>0.4605774799371225</v>
      </c>
      <c r="I102" s="71">
        <f>(AA102/R102)+((T102+Y102+AB102)/(R102+Y102+AB102+AD102))</f>
        <v>0.85352910706858687</v>
      </c>
      <c r="J102" s="71">
        <f>W102/AA102</f>
        <v>1.1012183692596064E-2</v>
      </c>
      <c r="K102" s="71">
        <f>(AC102+AD102)/AA102</f>
        <v>0.14245548266166824</v>
      </c>
      <c r="L102" s="71">
        <f>Z102/Q102</f>
        <v>3.8636551667080334E-2</v>
      </c>
      <c r="M102" s="71">
        <f>(Y102+AB102)/Q102</f>
        <v>0.13038802018697773</v>
      </c>
      <c r="N102" s="57">
        <f>(E102*0.7635+F102*0.7562+G102*0.75+H102*0.7248+I102*0.7021+J102*0.6285+1-K102*0.5884+1-L102*0.5276+M102*0.3663)/6.931</f>
        <v>0.51445404442488318</v>
      </c>
      <c r="O102" s="64">
        <f>N102/0.4825*100</f>
        <v>106.6225998808048</v>
      </c>
      <c r="P102" s="155">
        <f>(O102-100)/100*Q102*0.3389</f>
        <v>271.28051916922567</v>
      </c>
      <c r="Q102" s="54">
        <v>12087</v>
      </c>
      <c r="R102" s="21">
        <f>Q102-Y102-AB102-AC102-AD102</f>
        <v>9903</v>
      </c>
      <c r="S102" s="19" t="s">
        <v>19</v>
      </c>
      <c r="T102" s="19">
        <v>3315</v>
      </c>
      <c r="U102" s="19">
        <v>438</v>
      </c>
      <c r="V102" s="19">
        <v>187</v>
      </c>
      <c r="W102" s="19">
        <v>47</v>
      </c>
      <c r="X102" s="19">
        <v>1299</v>
      </c>
      <c r="Y102" s="54">
        <v>1499</v>
      </c>
      <c r="Z102" s="19">
        <v>467</v>
      </c>
      <c r="AA102" s="54">
        <f>T102+U102+V102*2+W102*3</f>
        <v>4268</v>
      </c>
      <c r="AB102" s="19">
        <v>77</v>
      </c>
      <c r="AC102" s="19">
        <v>512</v>
      </c>
      <c r="AD102" s="21">
        <v>96</v>
      </c>
      <c r="AE102" s="9"/>
      <c r="AF102" s="6">
        <v>1921</v>
      </c>
      <c r="AG102" s="77">
        <v>3.9492906133161663E-2</v>
      </c>
      <c r="AH102" s="85">
        <v>0.50123749673422657</v>
      </c>
      <c r="AI102" s="86">
        <v>0.49927023040613266</v>
      </c>
      <c r="AJ102" s="76">
        <v>1.4121705829433564E-2</v>
      </c>
      <c r="AK102" s="41">
        <v>6.8500000000000002E-3</v>
      </c>
      <c r="AL102" s="42">
        <v>3.1850182814602057E-2</v>
      </c>
      <c r="AM102" s="79">
        <v>7.7299999999999999E-3</v>
      </c>
      <c r="AN102" s="9"/>
      <c r="BB102" s="9"/>
      <c r="BC102" s="150" t="s">
        <v>55</v>
      </c>
      <c r="BD102" s="151">
        <v>0.26749057394218684</v>
      </c>
      <c r="BE102" s="151">
        <v>0.40660853602569985</v>
      </c>
      <c r="BF102" s="151">
        <v>0.37254901960784315</v>
      </c>
      <c r="BG102" s="151">
        <v>0.55575952271684259</v>
      </c>
      <c r="BH102" s="151">
        <v>0.82281752227922855</v>
      </c>
      <c r="BI102" s="151">
        <v>9.5184349134687735E-2</v>
      </c>
      <c r="BJ102" s="151">
        <v>3.0474040632054177E-2</v>
      </c>
      <c r="BK102" s="151">
        <v>0.10738871041762277</v>
      </c>
      <c r="BL102" s="151">
        <v>0.11901483861098364</v>
      </c>
      <c r="BM102" s="151">
        <v>0.54832811527931125</v>
      </c>
      <c r="BN102" s="165">
        <v>109.95149694792687</v>
      </c>
      <c r="BO102" s="168">
        <v>220.46439857419844</v>
      </c>
      <c r="BP102" s="9"/>
    </row>
    <row r="103" spans="1:68" x14ac:dyDescent="0.2">
      <c r="A103" s="9"/>
      <c r="B103" s="3">
        <v>1955</v>
      </c>
      <c r="C103" s="106" t="s">
        <v>218</v>
      </c>
      <c r="D103" s="98">
        <v>0.81699999999999995</v>
      </c>
      <c r="E103" s="99">
        <f>(T103-W103)/(R103-W103-Z103+AD103)</f>
        <v>0.29424165094862975</v>
      </c>
      <c r="F103" s="99">
        <f>AA103/Q103</f>
        <v>0.3152822020746549</v>
      </c>
      <c r="G103" s="99">
        <f>(U103+V103+W103)/T103</f>
        <v>0.25044915558749553</v>
      </c>
      <c r="H103" s="99">
        <f>(AA103+S103)/Q103</f>
        <v>0.4156660949113779</v>
      </c>
      <c r="I103" s="99">
        <f>(AA103/R103)+((T103+Y103+AB103)/(R103+Y103+AB103+AD103))</f>
        <v>0.65396627565278576</v>
      </c>
      <c r="J103" s="99">
        <f>W103/AA103</f>
        <v>3.3937823834196891E-2</v>
      </c>
      <c r="K103" s="99">
        <f>(AC103+AD103)/AA103</f>
        <v>7.7202072538860106E-2</v>
      </c>
      <c r="L103" s="99">
        <f>Z103/Q103</f>
        <v>0.165563995752675</v>
      </c>
      <c r="M103" s="99">
        <f>(Y103+AB103)/Q103</f>
        <v>7.2939638977374821E-2</v>
      </c>
      <c r="N103" s="100">
        <f>(1-E103*0.7635+1-F103*0.7562+1-G103*0.75+1-H103*0.7248+1-I103*0.7021+1-J103*0.6285+K103*0.5884+L103*0.5276+1-M103*0.3663)/11.068</f>
        <v>0.51259471227660192</v>
      </c>
      <c r="O103" s="101">
        <f>N103/0.496*100</f>
        <v>103.34570812028265</v>
      </c>
      <c r="P103" s="102">
        <f>(O103-100)/100*Q103*0.6611</f>
        <v>270.79650635937816</v>
      </c>
      <c r="Q103" s="54">
        <v>12243</v>
      </c>
      <c r="R103" s="21">
        <f>Q103-Y103-AB103-AC103-AD103</f>
        <v>11052</v>
      </c>
      <c r="S103" s="19">
        <v>1229</v>
      </c>
      <c r="T103" s="19">
        <v>2783</v>
      </c>
      <c r="U103" s="19">
        <v>448</v>
      </c>
      <c r="V103" s="19">
        <v>118</v>
      </c>
      <c r="W103" s="19">
        <v>131</v>
      </c>
      <c r="X103" s="20" t="s">
        <v>19</v>
      </c>
      <c r="Y103" s="54">
        <v>819</v>
      </c>
      <c r="Z103" s="19">
        <v>2027</v>
      </c>
      <c r="AA103" s="54">
        <f>T103+U103+V103*2+W103*3</f>
        <v>3860</v>
      </c>
      <c r="AB103" s="19">
        <v>74</v>
      </c>
      <c r="AC103" s="19">
        <v>179</v>
      </c>
      <c r="AD103" s="21">
        <v>119</v>
      </c>
      <c r="AE103" s="9"/>
      <c r="AF103" s="6">
        <v>1920</v>
      </c>
      <c r="AG103" s="77">
        <v>3.6824862914104521E-2</v>
      </c>
      <c r="AH103" s="85">
        <v>0.48525415070272954</v>
      </c>
      <c r="AI103" s="86">
        <v>0.509279317083428</v>
      </c>
      <c r="AJ103" s="76">
        <v>1.278884392354724E-2</v>
      </c>
      <c r="AK103" s="41">
        <v>6.3200000000000001E-3</v>
      </c>
      <c r="AL103" s="42">
        <v>3.2707906308579039E-2</v>
      </c>
      <c r="AM103" s="79">
        <v>7.8799999999999999E-3</v>
      </c>
      <c r="AN103" s="9"/>
      <c r="BB103" s="9"/>
      <c r="BC103" s="150" t="s">
        <v>80</v>
      </c>
      <c r="BD103" s="151">
        <v>0.34208809135399676</v>
      </c>
      <c r="BE103" s="151">
        <v>0.44093985442472228</v>
      </c>
      <c r="BF103" s="151">
        <v>0.29427083333333331</v>
      </c>
      <c r="BG103" s="151">
        <v>0.57949176350402243</v>
      </c>
      <c r="BH103" s="151">
        <v>0.83655764295606994</v>
      </c>
      <c r="BI103" s="151">
        <v>5.9947871416159863E-2</v>
      </c>
      <c r="BJ103" s="151">
        <v>2.3457862728062554E-2</v>
      </c>
      <c r="BK103" s="151">
        <v>0.12322819563274166</v>
      </c>
      <c r="BL103" s="151">
        <v>6.4614991699655219E-2</v>
      </c>
      <c r="BM103" s="151">
        <v>0.54901410448298038</v>
      </c>
      <c r="BN103" s="165">
        <v>108.28680561794484</v>
      </c>
      <c r="BO103" s="168">
        <v>219.92568057729304</v>
      </c>
      <c r="BP103" s="9"/>
    </row>
    <row r="104" spans="1:68" x14ac:dyDescent="0.2">
      <c r="A104" s="9"/>
      <c r="B104" s="3">
        <v>2000</v>
      </c>
      <c r="C104" s="51" t="s">
        <v>83</v>
      </c>
      <c r="D104" s="26">
        <v>0.79600000000000004</v>
      </c>
      <c r="E104" s="71">
        <f>(T104-W104)/(R104-W104-Z104+AD104)</f>
        <v>0.27993779160186627</v>
      </c>
      <c r="F104" s="71">
        <f>AA104/Q104</f>
        <v>0.40586623363442609</v>
      </c>
      <c r="G104" s="71">
        <f>(U104+V104+W104)/T104</f>
        <v>0.35823429541595925</v>
      </c>
      <c r="H104" s="71">
        <f>(AA104+X104)/Q104</f>
        <v>0.54085050238506038</v>
      </c>
      <c r="I104" s="71">
        <f>(AA104/R104)+((T104+Y104+AB104)/(R104+Y104+AB104+AD104))</f>
        <v>0.79740940146675454</v>
      </c>
      <c r="J104" s="71">
        <f>W104/AA104</f>
        <v>9.4023505876469113E-2</v>
      </c>
      <c r="K104" s="71">
        <f>(AC104+AD104)/AA104</f>
        <v>2.6256564141035259E-2</v>
      </c>
      <c r="L104" s="71">
        <f>Z104/Q104</f>
        <v>0.14066781690855576</v>
      </c>
      <c r="M104" s="71">
        <f>(Y104+AB104)/Q104</f>
        <v>0.10067999594032274</v>
      </c>
      <c r="N104" s="57">
        <f>(E104*0.7635+F104*0.7562+G104*0.75+H104*0.7248+I104*0.7021+J104*0.6285+1-K104*0.5884+1-L104*0.5276+M104*0.3663)/6.931</f>
        <v>0.54068691525575086</v>
      </c>
      <c r="O104" s="64">
        <f>N104/0.5003*100</f>
        <v>108.07253952743372</v>
      </c>
      <c r="P104" s="155">
        <f>(O104-100)/100*Q104*0.3389</f>
        <v>269.55676262533319</v>
      </c>
      <c r="Q104" s="54">
        <v>9853</v>
      </c>
      <c r="R104" s="54">
        <f>Q104-Y104-AB104-AC104-AD104</f>
        <v>8756</v>
      </c>
      <c r="S104" s="20" t="s">
        <v>19</v>
      </c>
      <c r="T104" s="19">
        <v>2356</v>
      </c>
      <c r="U104" s="19">
        <v>421</v>
      </c>
      <c r="V104" s="19">
        <v>47</v>
      </c>
      <c r="W104" s="19">
        <v>376</v>
      </c>
      <c r="X104" s="19">
        <v>1330</v>
      </c>
      <c r="Y104" s="54">
        <v>849</v>
      </c>
      <c r="Z104" s="19">
        <v>1386</v>
      </c>
      <c r="AA104" s="54">
        <f>T104+U104+V104*2+W104*3</f>
        <v>3999</v>
      </c>
      <c r="AB104" s="19">
        <v>143</v>
      </c>
      <c r="AC104" s="19">
        <v>26</v>
      </c>
      <c r="AD104" s="19">
        <v>79</v>
      </c>
      <c r="AE104" s="9"/>
      <c r="AF104" s="6">
        <v>1919</v>
      </c>
      <c r="AG104" s="77">
        <v>3.4751376615962802E-2</v>
      </c>
      <c r="AH104" s="85">
        <v>0.47503572470039424</v>
      </c>
      <c r="AI104" s="86">
        <v>0.51567829708181856</v>
      </c>
      <c r="AJ104" s="76">
        <v>1.2463874980673858E-2</v>
      </c>
      <c r="AK104" s="41">
        <v>6.3200000000000001E-3</v>
      </c>
      <c r="AL104" s="42">
        <v>3.2325202478503387E-2</v>
      </c>
      <c r="AM104" s="79">
        <v>8.4399999999999996E-3</v>
      </c>
      <c r="AN104" s="9"/>
      <c r="BB104" s="9"/>
      <c r="BC104" s="150" t="s">
        <v>74</v>
      </c>
      <c r="BD104" s="151">
        <v>0.32566240895175763</v>
      </c>
      <c r="BE104" s="151">
        <v>0.39894797402810883</v>
      </c>
      <c r="BF104" s="151">
        <v>0.28713467912021695</v>
      </c>
      <c r="BG104" s="151">
        <v>0.50636968850168484</v>
      </c>
      <c r="BH104" s="151">
        <v>0.81654227751415498</v>
      </c>
      <c r="BI104" s="151">
        <v>4.8207663782447466E-2</v>
      </c>
      <c r="BJ104" s="151">
        <v>3.7906880922950144E-2</v>
      </c>
      <c r="BK104" s="151">
        <v>0.10224377414317416</v>
      </c>
      <c r="BL104" s="151">
        <v>9.3778252650612307E-2</v>
      </c>
      <c r="BM104" s="151">
        <v>0.53302424851591113</v>
      </c>
      <c r="BN104" s="165">
        <v>105.02940857456377</v>
      </c>
      <c r="BO104" s="168">
        <v>207.38244707544538</v>
      </c>
      <c r="BP104" s="9"/>
    </row>
    <row r="105" spans="1:68" x14ac:dyDescent="0.2">
      <c r="A105" s="9"/>
      <c r="B105" s="3">
        <v>1972</v>
      </c>
      <c r="C105" s="106" t="s">
        <v>170</v>
      </c>
      <c r="D105" s="98">
        <v>0.86899999999999999</v>
      </c>
      <c r="E105" s="99">
        <f>(T105-W105)/(R105-W105-Z105+AD105)</f>
        <v>0.2592406756982773</v>
      </c>
      <c r="F105" s="99">
        <f>AA105/Q105</f>
        <v>0.28745919764136041</v>
      </c>
      <c r="G105" s="99">
        <f>(U105+V105+W105)/T105</f>
        <v>0.29703534777651081</v>
      </c>
      <c r="H105" s="99">
        <f>(AA105+S105)/Q105</f>
        <v>0.37232810361166685</v>
      </c>
      <c r="I105" s="99">
        <f>(AA105/R105)+((T105+Y105+AB105)/(R105+Y105+AB105+AD105))</f>
        <v>0.5944262531260619</v>
      </c>
      <c r="J105" s="99">
        <f>W105/AA105</f>
        <v>7.4725274725274723E-2</v>
      </c>
      <c r="K105" s="99">
        <f>(AC105+AD105)/AA105</f>
        <v>4.2124542124542128E-2</v>
      </c>
      <c r="L105" s="99">
        <f>Z105/Q105</f>
        <v>0.25229019690428556</v>
      </c>
      <c r="M105" s="99">
        <f>(Y105+AB105)/Q105</f>
        <v>8.792250184268717E-2</v>
      </c>
      <c r="N105" s="100">
        <f>(1-E105*0.7635+1-F105*0.7562+1-G105*0.75+1-H105*0.7248+1-I105*0.7021+1-J105*0.6285+K105*0.5884+L105*0.5276+1-M105*0.3663)/11.068</f>
        <v>0.51982562767266105</v>
      </c>
      <c r="O105" s="101">
        <f>N105/0.4986*100</f>
        <v>104.25704526126376</v>
      </c>
      <c r="P105" s="102">
        <f>(O105-100)/100*Q105*0.6611</f>
        <v>267.27716913237288</v>
      </c>
      <c r="Q105" s="54">
        <v>9497</v>
      </c>
      <c r="R105" s="54">
        <f>Q105-Y105-AB105-AC105-AD105</f>
        <v>8547</v>
      </c>
      <c r="S105" s="19">
        <v>806</v>
      </c>
      <c r="T105" s="19">
        <v>1754</v>
      </c>
      <c r="U105" s="19">
        <v>270</v>
      </c>
      <c r="V105" s="19">
        <v>47</v>
      </c>
      <c r="W105" s="19">
        <v>204</v>
      </c>
      <c r="X105" s="19" t="s">
        <v>19</v>
      </c>
      <c r="Y105" s="54">
        <v>817</v>
      </c>
      <c r="Z105" s="19">
        <v>2396</v>
      </c>
      <c r="AA105" s="54">
        <f>T105+U105+V105*2+W105*3</f>
        <v>2730</v>
      </c>
      <c r="AB105" s="19">
        <v>18</v>
      </c>
      <c r="AC105" s="19">
        <v>83</v>
      </c>
      <c r="AD105" s="54">
        <v>32</v>
      </c>
      <c r="AE105" s="9"/>
      <c r="AF105" s="6">
        <v>1918</v>
      </c>
      <c r="AG105" s="77">
        <v>3.0518405633358732E-2</v>
      </c>
      <c r="AH105" s="85">
        <v>0.46244985159962598</v>
      </c>
      <c r="AI105" s="86">
        <v>0.52355981916904537</v>
      </c>
      <c r="AJ105" s="76">
        <v>1.1626684883995901E-2</v>
      </c>
      <c r="AK105" s="41">
        <v>6.0600000000000003E-3</v>
      </c>
      <c r="AL105" s="42">
        <v>3.21343177697785E-2</v>
      </c>
      <c r="AM105" s="79">
        <v>8.5699999999999995E-3</v>
      </c>
      <c r="AN105" s="9"/>
      <c r="BB105" s="9"/>
      <c r="BC105" s="150" t="s">
        <v>209</v>
      </c>
      <c r="BD105" s="151">
        <v>0.32802728823194999</v>
      </c>
      <c r="BE105" s="151">
        <v>0.4024764006374893</v>
      </c>
      <c r="BF105" s="151">
        <v>0.24789562289562289</v>
      </c>
      <c r="BG105" s="151">
        <v>0.52274120387397327</v>
      </c>
      <c r="BH105" s="151">
        <v>0.81841353530765137</v>
      </c>
      <c r="BI105" s="151">
        <v>2.071276271702711E-2</v>
      </c>
      <c r="BJ105" s="151">
        <v>9.7471824550715805E-2</v>
      </c>
      <c r="BK105" s="151">
        <v>3.1874463650852031E-2</v>
      </c>
      <c r="BL105" s="151">
        <v>6.5833026848105922E-2</v>
      </c>
      <c r="BM105" s="151">
        <v>0.52765508499791092</v>
      </c>
      <c r="BN105" s="165">
        <v>107.4435115043598</v>
      </c>
      <c r="BO105" s="168">
        <v>205.76897540286228</v>
      </c>
      <c r="BP105" s="9"/>
    </row>
    <row r="106" spans="1:68" x14ac:dyDescent="0.2">
      <c r="A106" s="9"/>
      <c r="B106" s="3">
        <v>1954</v>
      </c>
      <c r="C106" s="51" t="s">
        <v>223</v>
      </c>
      <c r="D106" s="26">
        <v>0.80200000000000005</v>
      </c>
      <c r="E106" s="71">
        <f>(T106-W106)/(R106-W106-Z106+AD106)</f>
        <v>0.30392156862745096</v>
      </c>
      <c r="F106" s="71">
        <f>AA106/Q106</f>
        <v>0.43340410474168434</v>
      </c>
      <c r="G106" s="71">
        <f>(U106+V106+W106)/T106</f>
        <v>0.3133570340274251</v>
      </c>
      <c r="H106" s="71">
        <f>(AA106+X106)/Q106</f>
        <v>0.60452937013446573</v>
      </c>
      <c r="I106" s="71">
        <f>(AA106/R106)+((T106+Y106+AB106)/(R106+Y106+AB106+AD106))</f>
        <v>0.87172781294553747</v>
      </c>
      <c r="J106" s="71">
        <f>W106/AA106</f>
        <v>6.5969954278249504E-2</v>
      </c>
      <c r="K106" s="71">
        <f>(AC106+AD106)/AA106</f>
        <v>3.4617896799477466E-2</v>
      </c>
      <c r="L106" s="71">
        <f>Z106/Q106</f>
        <v>4.0905874026893135E-2</v>
      </c>
      <c r="M106" s="71">
        <f>(Y106+AB106)/Q106</f>
        <v>0.10035385704175513</v>
      </c>
      <c r="N106" s="57">
        <f>(E106*0.7635+F106*0.7562+G106*0.75+H106*0.7248+I106*0.7021+J106*0.6285+1-K106*0.5884+1-L106*0.5276+M106*0.3663)/6.931</f>
        <v>0.55998783531967755</v>
      </c>
      <c r="O106" s="64">
        <f>N106/0.5039*100</f>
        <v>111.13074723549863</v>
      </c>
      <c r="P106" s="155">
        <f>(O106-100)/100*Q106*0.3389</f>
        <v>266.50665332250583</v>
      </c>
      <c r="Q106" s="54">
        <v>7065</v>
      </c>
      <c r="R106" s="21">
        <f>Q106-Y106-AB106-AC106-AD106</f>
        <v>6250</v>
      </c>
      <c r="S106" s="20" t="s">
        <v>19</v>
      </c>
      <c r="T106" s="19">
        <v>1969</v>
      </c>
      <c r="U106" s="19">
        <v>343</v>
      </c>
      <c r="V106" s="19">
        <v>72</v>
      </c>
      <c r="W106" s="19">
        <v>202</v>
      </c>
      <c r="X106" s="19">
        <v>1209</v>
      </c>
      <c r="Y106" s="54">
        <v>678</v>
      </c>
      <c r="Z106" s="19">
        <v>289</v>
      </c>
      <c r="AA106" s="54">
        <f>T106+U106+V106*2+W106*3</f>
        <v>3062</v>
      </c>
      <c r="AB106" s="19">
        <v>31</v>
      </c>
      <c r="AC106" s="19">
        <v>51</v>
      </c>
      <c r="AD106" s="21">
        <v>55</v>
      </c>
      <c r="AE106" s="9"/>
      <c r="AF106" s="6">
        <v>1917</v>
      </c>
      <c r="AG106" s="77">
        <v>3.1347658354705918E-2</v>
      </c>
      <c r="AH106" s="85">
        <v>0.46150275348898856</v>
      </c>
      <c r="AI106" s="86">
        <v>0.52415291069459891</v>
      </c>
      <c r="AJ106" s="76">
        <v>1.2263195327485507E-2</v>
      </c>
      <c r="AK106" s="41">
        <v>6.2399999999999999E-3</v>
      </c>
      <c r="AL106" s="42">
        <v>3.3179594387810082E-2</v>
      </c>
      <c r="AM106" s="79">
        <v>8.5100000000000002E-3</v>
      </c>
      <c r="AN106" s="9"/>
      <c r="BB106" s="9"/>
      <c r="BC106" s="150" t="s">
        <v>123</v>
      </c>
      <c r="BD106" s="151">
        <v>0.29628259663399298</v>
      </c>
      <c r="BE106" s="151">
        <v>0.423894223201637</v>
      </c>
      <c r="BF106" s="151">
        <v>0.27566964285714285</v>
      </c>
      <c r="BG106" s="151">
        <v>0.57972611364709581</v>
      </c>
      <c r="BH106" s="151">
        <v>0.82152223733133001</v>
      </c>
      <c r="BI106" s="151">
        <v>7.0553286297809131E-2</v>
      </c>
      <c r="BJ106" s="151">
        <v>2.4879316747122168E-2</v>
      </c>
      <c r="BK106" s="151">
        <v>4.1240358885565875E-2</v>
      </c>
      <c r="BL106" s="151">
        <v>7.4925232173776168E-2</v>
      </c>
      <c r="BM106" s="151">
        <v>0.5462241387853306</v>
      </c>
      <c r="BN106" s="165">
        <v>109.26668109328477</v>
      </c>
      <c r="BO106" s="168">
        <v>199.51458147632772</v>
      </c>
      <c r="BP106" s="9"/>
    </row>
    <row r="107" spans="1:68" x14ac:dyDescent="0.2">
      <c r="A107" s="9"/>
      <c r="B107" s="3">
        <v>1971</v>
      </c>
      <c r="C107" s="106" t="s">
        <v>183</v>
      </c>
      <c r="D107" s="98" t="s">
        <v>19</v>
      </c>
      <c r="E107" s="99">
        <f>(T107-W107)/(R107-W107-Z107+AD107)</f>
        <v>0.26973164956590373</v>
      </c>
      <c r="F107" s="99">
        <f>AA107/Q107</f>
        <v>0.2760598852665454</v>
      </c>
      <c r="G107" s="99">
        <f>(U107+V107+W107)/T107</f>
        <v>0.28632175761871015</v>
      </c>
      <c r="H107" s="99">
        <f>(AA107+S107)/Q107</f>
        <v>0.36490835315517001</v>
      </c>
      <c r="I107" s="99">
        <f>(AA107/R107)+((T107+Y107+AB107)/(R107+Y107+AB107+AD107))</f>
        <v>0.57151222930324774</v>
      </c>
      <c r="J107" s="99">
        <f>W107/AA107</f>
        <v>2.2301064368981247E-2</v>
      </c>
      <c r="K107" s="99">
        <f>(AC107+AD107)/AA107</f>
        <v>9.3258996452103393E-2</v>
      </c>
      <c r="L107" s="99">
        <f>Z107/Q107</f>
        <v>0.20120330208479081</v>
      </c>
      <c r="M107" s="99">
        <f>(Y107+AB107)/Q107</f>
        <v>6.5482020428151669E-2</v>
      </c>
      <c r="N107" s="100">
        <f>(1-E107*0.7635+1-F107*0.7562+1-G107*0.75+1-H107*0.7248+1-I107*0.7021+1-J107*0.6285+K107*0.5884+L107*0.5276+1-M107*0.3663)/11.068</f>
        <v>0.52654896496176162</v>
      </c>
      <c r="O107" s="101">
        <f>N107/0.4985*100</f>
        <v>105.62667301138649</v>
      </c>
      <c r="P107" s="102">
        <f>(O107-100)/100*Q107*0.6611</f>
        <v>265.85364343383901</v>
      </c>
      <c r="Q107" s="21">
        <v>7147</v>
      </c>
      <c r="R107" s="21">
        <f>Q107-Y107-AB107-AC107-AD107</f>
        <v>6495</v>
      </c>
      <c r="S107" s="19">
        <v>635</v>
      </c>
      <c r="T107" s="19">
        <v>1411</v>
      </c>
      <c r="U107" s="21">
        <v>290</v>
      </c>
      <c r="V107" s="21">
        <v>70</v>
      </c>
      <c r="W107" s="19">
        <v>44</v>
      </c>
      <c r="X107" s="19" t="s">
        <v>19</v>
      </c>
      <c r="Y107" s="54">
        <v>440</v>
      </c>
      <c r="Z107" s="19">
        <v>1438</v>
      </c>
      <c r="AA107" s="21">
        <f>T107+U107+V107*2+W107*3</f>
        <v>1973</v>
      </c>
      <c r="AB107" s="21">
        <v>28</v>
      </c>
      <c r="AC107" s="21">
        <v>129</v>
      </c>
      <c r="AD107" s="21">
        <v>55</v>
      </c>
      <c r="AE107" s="9"/>
      <c r="AF107" s="6">
        <v>1916</v>
      </c>
      <c r="AG107" s="77">
        <v>3.2323166914891323E-2</v>
      </c>
      <c r="AH107" s="85">
        <v>0.46387994057523652</v>
      </c>
      <c r="AI107" s="86">
        <v>0.52266426923319798</v>
      </c>
      <c r="AJ107" s="76">
        <v>1.231410131882838E-2</v>
      </c>
      <c r="AK107" s="41">
        <v>6.9100000000000003E-3</v>
      </c>
      <c r="AL107" s="42">
        <v>3.0531632454833906E-2</v>
      </c>
      <c r="AM107" s="79">
        <v>7.8700000000000003E-3</v>
      </c>
      <c r="AN107" s="9"/>
      <c r="BB107" s="9"/>
      <c r="BC107" s="150" t="s">
        <v>192</v>
      </c>
      <c r="BD107" s="151">
        <v>0.34553557217889541</v>
      </c>
      <c r="BE107" s="151">
        <v>0.418641975308642</v>
      </c>
      <c r="BF107" s="151">
        <v>0.29534580252283604</v>
      </c>
      <c r="BG107" s="151">
        <v>0.55012345679012342</v>
      </c>
      <c r="BH107" s="151">
        <v>0.8637742355191218</v>
      </c>
      <c r="BI107" s="151">
        <v>3.7746977292833973E-2</v>
      </c>
      <c r="BJ107" s="151">
        <v>7.0480684163963428E-2</v>
      </c>
      <c r="BK107" s="151">
        <v>9.2839506172839509E-2</v>
      </c>
      <c r="BL107" s="151">
        <v>9.3950617283950613E-2</v>
      </c>
      <c r="BM107" s="151">
        <v>0.54462174629048565</v>
      </c>
      <c r="BN107" s="165">
        <v>107.25123006902039</v>
      </c>
      <c r="BO107" s="168">
        <v>199.05279150167192</v>
      </c>
      <c r="BP107" s="9"/>
    </row>
    <row r="108" spans="1:68" x14ac:dyDescent="0.2">
      <c r="A108" s="9"/>
      <c r="B108" s="3">
        <v>1938</v>
      </c>
      <c r="C108" s="106" t="s">
        <v>268</v>
      </c>
      <c r="D108" s="98">
        <v>0.80900000000000005</v>
      </c>
      <c r="E108" s="99">
        <f>(T108-W108)/(R108-W108-Z108+AD108)</f>
        <v>0.27320785407226678</v>
      </c>
      <c r="F108" s="99">
        <f>AA108/Q108</f>
        <v>0.31311922653520319</v>
      </c>
      <c r="G108" s="99">
        <f>(U108+V108+W108)/T108</f>
        <v>0.22966310599835663</v>
      </c>
      <c r="H108" s="99">
        <f>(AA108+S108)/Q108</f>
        <v>0.40176135547791125</v>
      </c>
      <c r="I108" s="99">
        <f>(AA108/R108)+((T108+Y108+AB108)/(R108+Y108+AB108+AD108))</f>
        <v>0.62268404062170446</v>
      </c>
      <c r="J108" s="99">
        <f>W108/AA108</f>
        <v>2.5221644756955059E-2</v>
      </c>
      <c r="K108" s="99">
        <f>(AC108+AD108)/AA108</f>
        <v>6.8327728523387338E-2</v>
      </c>
      <c r="L108" s="99">
        <f>Z108/Q108</f>
        <v>0.10520269946872159</v>
      </c>
      <c r="M108" s="99">
        <f>(Y108+AB108)/Q108</f>
        <v>4.8868041927918444E-2</v>
      </c>
      <c r="N108" s="100">
        <f>(1-E108*0.7635+1-F108*0.7562+1-G108*0.75+1-H108*0.7248+1-I108*0.7021+1-J108*0.6285+K108*0.5884+L108*0.5276+1-M108*0.3663)/11.068</f>
        <v>0.51643941377440938</v>
      </c>
      <c r="O108" s="101">
        <f>N108/0.5067*100</f>
        <v>101.92212626295823</v>
      </c>
      <c r="P108" s="102">
        <f>(O108-100)/100*Q108*0.6611</f>
        <v>265.49104330324144</v>
      </c>
      <c r="Q108" s="54">
        <v>20893</v>
      </c>
      <c r="R108" s="21">
        <f>Q108-Y108-AB108-AC108-AD108</f>
        <v>19425</v>
      </c>
      <c r="S108" s="19">
        <v>1852</v>
      </c>
      <c r="T108" s="19">
        <v>4868</v>
      </c>
      <c r="U108" s="21">
        <v>727</v>
      </c>
      <c r="V108" s="21">
        <v>226</v>
      </c>
      <c r="W108" s="19">
        <v>165</v>
      </c>
      <c r="X108" s="19" t="s">
        <v>19</v>
      </c>
      <c r="Y108" s="54">
        <v>951</v>
      </c>
      <c r="Z108" s="19">
        <v>2198</v>
      </c>
      <c r="AA108" s="21">
        <f>T108+U108+V108*2+W108*3</f>
        <v>6542</v>
      </c>
      <c r="AB108" s="19">
        <v>70</v>
      </c>
      <c r="AC108" s="21">
        <v>295</v>
      </c>
      <c r="AD108" s="21">
        <v>152</v>
      </c>
      <c r="AE108" s="9"/>
      <c r="AF108" s="6">
        <v>1915</v>
      </c>
      <c r="AG108" s="77">
        <v>3.2724148139590299E-2</v>
      </c>
      <c r="AH108" s="85">
        <v>0.46706793885583092</v>
      </c>
      <c r="AI108" s="86">
        <v>0.52066788180251489</v>
      </c>
      <c r="AJ108" s="76">
        <v>1.277339321688774E-2</v>
      </c>
      <c r="AK108" s="41">
        <v>7.3299999999999997E-3</v>
      </c>
      <c r="AL108" s="42">
        <v>3.2067065729903026E-2</v>
      </c>
      <c r="AM108" s="79">
        <v>8.7399999999999995E-3</v>
      </c>
      <c r="AN108" s="9"/>
      <c r="BB108" s="9"/>
      <c r="BC108" s="150" t="s">
        <v>254</v>
      </c>
      <c r="BD108" s="151">
        <v>0.29993796526054589</v>
      </c>
      <c r="BE108" s="151">
        <v>0.37238605898123323</v>
      </c>
      <c r="BF108" s="151">
        <v>0.26663331665832918</v>
      </c>
      <c r="BG108" s="151">
        <v>0.50415549597855225</v>
      </c>
      <c r="BH108" s="151">
        <v>0.75779480371133179</v>
      </c>
      <c r="BI108" s="151">
        <v>2.339812814974802E-2</v>
      </c>
      <c r="BJ108" s="151">
        <v>8.3873290136789055E-2</v>
      </c>
      <c r="BK108" s="151">
        <v>3.5656836461126003E-2</v>
      </c>
      <c r="BL108" s="151">
        <v>6.8364611260053623E-2</v>
      </c>
      <c r="BM108" s="151">
        <v>0.51646511134844331</v>
      </c>
      <c r="BN108" s="165">
        <v>107.82152637754558</v>
      </c>
      <c r="BO108" s="168">
        <v>197.7433605855247</v>
      </c>
      <c r="BP108" s="9"/>
    </row>
    <row r="109" spans="1:68" x14ac:dyDescent="0.2">
      <c r="A109" s="9"/>
      <c r="B109" s="3">
        <v>1954</v>
      </c>
      <c r="C109" s="51" t="s">
        <v>224</v>
      </c>
      <c r="D109" s="26">
        <v>0.77400000000000002</v>
      </c>
      <c r="E109" s="71">
        <f>(T109-W109)/(R109-W109-Z109+AD109)</f>
        <v>0.35004291845493563</v>
      </c>
      <c r="F109" s="71">
        <f>AA109/Q109</f>
        <v>0.45731964561946281</v>
      </c>
      <c r="G109" s="71">
        <f>(U109+V109+W109)/T109</f>
        <v>0.29138166894664841</v>
      </c>
      <c r="H109" s="71">
        <f>(AA109+X109)/Q109</f>
        <v>0.60891576430881733</v>
      </c>
      <c r="I109" s="71">
        <f>(AA109/R109)+((T109+Y109+AB109)/(R109+Y109+AB109+AD109))</f>
        <v>0.90310229493782934</v>
      </c>
      <c r="J109" s="71">
        <f>W109/AA109</f>
        <v>4.7355473554735544E-2</v>
      </c>
      <c r="K109" s="71">
        <f>(AC109+AD109)/AA109</f>
        <v>5.934809348093481E-2</v>
      </c>
      <c r="L109" s="71">
        <f>Z109/Q109</f>
        <v>6.3141611587681057E-2</v>
      </c>
      <c r="M109" s="71">
        <f>(Y109+AB109)/Q109</f>
        <v>7.6782449725776969E-2</v>
      </c>
      <c r="N109" s="57">
        <f>(E109*0.7635+F109*0.7562+G109*0.75+H109*0.7248+I109*0.7021+J109*0.6285+1-K109*0.5884+1-L109*0.5276+M109*0.3663)/6.931</f>
        <v>0.562210907113044</v>
      </c>
      <c r="O109" s="64">
        <f>N109/0.5075*100</f>
        <v>110.78047430798898</v>
      </c>
      <c r="P109" s="155">
        <f>(O109-100)/100*Q109*0.3389</f>
        <v>259.80058005312759</v>
      </c>
      <c r="Q109" s="54">
        <v>7111</v>
      </c>
      <c r="R109" s="21">
        <f>Q109-Y109-AB109-AC109-AD109</f>
        <v>6372</v>
      </c>
      <c r="S109" s="20" t="s">
        <v>19</v>
      </c>
      <c r="T109" s="19">
        <v>2193</v>
      </c>
      <c r="U109" s="19">
        <v>373</v>
      </c>
      <c r="V109" s="19">
        <v>112</v>
      </c>
      <c r="W109" s="19">
        <v>154</v>
      </c>
      <c r="X109" s="19">
        <v>1078</v>
      </c>
      <c r="Y109" s="54">
        <v>537</v>
      </c>
      <c r="Z109" s="19">
        <v>449</v>
      </c>
      <c r="AA109" s="54">
        <f>T109+U109+V109*2+W109*3</f>
        <v>3252</v>
      </c>
      <c r="AB109" s="19">
        <v>9</v>
      </c>
      <c r="AC109" s="19">
        <v>137</v>
      </c>
      <c r="AD109" s="21">
        <v>56</v>
      </c>
      <c r="AE109" s="9"/>
      <c r="AF109" s="6">
        <v>1914</v>
      </c>
      <c r="AG109" s="77">
        <v>3.3213883044043407E-2</v>
      </c>
      <c r="AH109" s="85">
        <v>0.47052590360088464</v>
      </c>
      <c r="AI109" s="86">
        <v>0.51850243604465729</v>
      </c>
      <c r="AJ109" s="76">
        <v>1.2488420024560321E-2</v>
      </c>
      <c r="AK109" s="41">
        <v>7.1199999999999996E-3</v>
      </c>
      <c r="AL109" s="42">
        <v>3.0075619932638655E-2</v>
      </c>
      <c r="AM109" s="79">
        <v>7.6800000000000002E-3</v>
      </c>
      <c r="AN109" s="9"/>
      <c r="BB109" s="9"/>
      <c r="BC109" s="150" t="s">
        <v>169</v>
      </c>
      <c r="BD109" s="151">
        <v>0.31613653995345231</v>
      </c>
      <c r="BE109" s="151">
        <v>0.41263318112633179</v>
      </c>
      <c r="BF109" s="151">
        <v>0.31552305961754779</v>
      </c>
      <c r="BG109" s="151">
        <v>0.56788432267884326</v>
      </c>
      <c r="BH109" s="151">
        <v>0.7977957785593317</v>
      </c>
      <c r="BI109" s="151">
        <v>5.4592401327923278E-2</v>
      </c>
      <c r="BJ109" s="151">
        <v>7.7462191073404643E-2</v>
      </c>
      <c r="BK109" s="151">
        <v>0.10563165905631659</v>
      </c>
      <c r="BL109" s="151">
        <v>6.3013698630136991E-2</v>
      </c>
      <c r="BM109" s="151">
        <v>0.53641090076996123</v>
      </c>
      <c r="BN109" s="165">
        <v>108.6071878457099</v>
      </c>
      <c r="BO109" s="168">
        <v>191.64532063185831</v>
      </c>
      <c r="BP109" s="9"/>
    </row>
    <row r="110" spans="1:68" x14ac:dyDescent="0.2">
      <c r="A110" s="9"/>
      <c r="B110" s="3">
        <v>1974</v>
      </c>
      <c r="C110" s="106" t="s">
        <v>162</v>
      </c>
      <c r="D110" s="98">
        <v>0.77800000000000002</v>
      </c>
      <c r="E110" s="99">
        <f>(T110-W110)/(R110-W110-Z110+AD110)</f>
        <v>0.26393510815307819</v>
      </c>
      <c r="F110" s="99">
        <f>AA110/Q110</f>
        <v>0.30657662497122246</v>
      </c>
      <c r="G110" s="99">
        <f>(U110+V110+W110)/T110</f>
        <v>0.24909616775126536</v>
      </c>
      <c r="H110" s="99">
        <f>(AA110+S110)/Q110</f>
        <v>0.39152789501956869</v>
      </c>
      <c r="I110" s="99">
        <f>(AA110/R110)+((T110+Y110+AB110)/(R110+Y110+AB110+AD110))</f>
        <v>0.64068077205950336</v>
      </c>
      <c r="J110" s="99">
        <f>W110/AA110</f>
        <v>5.7071339173967457E-2</v>
      </c>
      <c r="K110" s="99">
        <f>(AC110+AD110)/AA110</f>
        <v>4.3804755944931162E-2</v>
      </c>
      <c r="L110" s="99">
        <f>Z110/Q110</f>
        <v>0.15010359910981505</v>
      </c>
      <c r="M110" s="99">
        <f>(Y110+AB110)/Q110</f>
        <v>8.5488450617757658E-2</v>
      </c>
      <c r="N110" s="100">
        <f>(1-E110*0.7635+1-F110*0.7562+1-G110*0.75+1-H110*0.7248+1-I110*0.7021+1-J110*0.6285+K110*0.5884+L110*0.5276+1-M110*0.3663)/11.068</f>
        <v>0.51355388580515804</v>
      </c>
      <c r="O110" s="101">
        <f>N110/0.4986*100</f>
        <v>102.99917485061331</v>
      </c>
      <c r="P110" s="102">
        <f>(O110-100)/100*Q110*0.6611</f>
        <v>258.37273807931967</v>
      </c>
      <c r="Q110" s="54">
        <v>13031</v>
      </c>
      <c r="R110" s="21">
        <f>Q110-Y110-AB110-AC110-AD110</f>
        <v>11742</v>
      </c>
      <c r="S110" s="19">
        <v>1107</v>
      </c>
      <c r="T110" s="19">
        <v>2766</v>
      </c>
      <c r="U110" s="19">
        <v>377</v>
      </c>
      <c r="V110" s="19">
        <v>84</v>
      </c>
      <c r="W110" s="19">
        <v>228</v>
      </c>
      <c r="X110" s="19" t="s">
        <v>19</v>
      </c>
      <c r="Y110" s="54">
        <v>1086</v>
      </c>
      <c r="Z110" s="19">
        <v>1956</v>
      </c>
      <c r="AA110" s="54">
        <f>T110+U110+V110*2+W110*3</f>
        <v>3995</v>
      </c>
      <c r="AB110" s="19">
        <v>28</v>
      </c>
      <c r="AC110" s="19">
        <v>117</v>
      </c>
      <c r="AD110" s="21">
        <v>58</v>
      </c>
      <c r="AE110" s="9"/>
      <c r="AF110" s="6">
        <v>1913</v>
      </c>
      <c r="AG110" s="77">
        <v>3.3367751752622139E-2</v>
      </c>
      <c r="AH110" s="85">
        <v>0.47575720815414813</v>
      </c>
      <c r="AI110" s="86">
        <v>0.51522648990636066</v>
      </c>
      <c r="AJ110" s="76">
        <v>1.3749252758002282E-2</v>
      </c>
      <c r="AK110" s="41">
        <v>7.6299999999999996E-3</v>
      </c>
      <c r="AL110" s="42">
        <v>2.7618064235639367E-2</v>
      </c>
      <c r="AM110" s="79">
        <v>6.8500000000000002E-3</v>
      </c>
      <c r="AN110" s="9"/>
      <c r="BB110" s="9"/>
      <c r="BC110" s="150" t="s">
        <v>112</v>
      </c>
      <c r="BD110" s="151">
        <v>0.31560957083175084</v>
      </c>
      <c r="BE110" s="151">
        <v>0.40169537872573147</v>
      </c>
      <c r="BF110" s="151">
        <v>0.34076086956521739</v>
      </c>
      <c r="BG110" s="151">
        <v>0.56494394312277818</v>
      </c>
      <c r="BH110" s="151">
        <v>0.84920164252635044</v>
      </c>
      <c r="BI110" s="151">
        <v>6.0585432266848198E-2</v>
      </c>
      <c r="BJ110" s="151">
        <v>5.8543226684819608E-2</v>
      </c>
      <c r="BK110" s="151">
        <v>0.11812961443806398</v>
      </c>
      <c r="BL110" s="151">
        <v>0.12168444079846868</v>
      </c>
      <c r="BM110" s="151">
        <v>0.54708921999348092</v>
      </c>
      <c r="BN110" s="165">
        <v>107.71593226884836</v>
      </c>
      <c r="BO110" s="168">
        <v>191.25593967405564</v>
      </c>
      <c r="BP110" s="9"/>
    </row>
    <row r="111" spans="1:68" x14ac:dyDescent="0.2">
      <c r="A111" s="9"/>
      <c r="B111" s="3">
        <v>1986</v>
      </c>
      <c r="C111" s="51" t="s">
        <v>122</v>
      </c>
      <c r="D111" s="26" t="s">
        <v>19</v>
      </c>
      <c r="E111" s="71">
        <f>(T111-W111)/(R111-W111-Z111+AD111)</f>
        <v>0.290389527458493</v>
      </c>
      <c r="F111" s="71">
        <f>AA111/Q111</f>
        <v>0.40722291407222916</v>
      </c>
      <c r="G111" s="71">
        <f>(U111+V111+W111)/T111</f>
        <v>0.3393731635651322</v>
      </c>
      <c r="H111" s="71">
        <f>(AA111+X111)/Q111</f>
        <v>0.56251556662515567</v>
      </c>
      <c r="I111" s="71">
        <f>(AA111/R111)+((T111+Y111+AB111)/(R111+Y111+AB111+AD111))</f>
        <v>0.82647675912556129</v>
      </c>
      <c r="J111" s="71">
        <f>W111/AA111</f>
        <v>6.8195718654434245E-2</v>
      </c>
      <c r="K111" s="71">
        <f>(AC111+AD111)/AA111</f>
        <v>5.3822629969418959E-2</v>
      </c>
      <c r="L111" s="71">
        <f>Z111/Q111</f>
        <v>7.5716064757160653E-2</v>
      </c>
      <c r="M111" s="71">
        <f>(Y111+AB111)/Q111</f>
        <v>0.10211706102117062</v>
      </c>
      <c r="N111" s="57">
        <f>(E111*0.7635+F111*0.7562+G111*0.75+H111*0.7248+I111*0.7021+J111*0.6285+1-K111*0.5884+1-L111*0.5276+M111*0.3663)/6.931</f>
        <v>0.54549333677222334</v>
      </c>
      <c r="O111" s="64">
        <f>N111/0.4992*100</f>
        <v>109.27350496238448</v>
      </c>
      <c r="P111" s="155">
        <f>(O111-100)/100*Q111*0.3389</f>
        <v>252.3661037896936</v>
      </c>
      <c r="Q111" s="54">
        <v>8030</v>
      </c>
      <c r="R111" s="21">
        <f>Q111-Y111-AB111-AC111-AD111</f>
        <v>7034</v>
      </c>
      <c r="S111" s="20" t="s">
        <v>19</v>
      </c>
      <c r="T111" s="19">
        <v>2042</v>
      </c>
      <c r="U111" s="19">
        <v>381</v>
      </c>
      <c r="V111" s="19">
        <v>89</v>
      </c>
      <c r="W111" s="19">
        <v>223</v>
      </c>
      <c r="X111" s="19">
        <v>1247</v>
      </c>
      <c r="Y111" s="54">
        <v>809</v>
      </c>
      <c r="Z111" s="19">
        <v>608</v>
      </c>
      <c r="AA111" s="54">
        <f>T111+U111+V111*2+W111*3</f>
        <v>3270</v>
      </c>
      <c r="AB111" s="19">
        <v>11</v>
      </c>
      <c r="AC111" s="19">
        <v>115</v>
      </c>
      <c r="AD111" s="21">
        <v>61</v>
      </c>
      <c r="AE111" s="9"/>
      <c r="AF111" s="6">
        <v>1912</v>
      </c>
      <c r="AG111" s="77">
        <v>3.5879381928690668E-2</v>
      </c>
      <c r="AH111" s="85">
        <v>0.4825482044756681</v>
      </c>
      <c r="AI111" s="86">
        <v>0.51097383400606655</v>
      </c>
      <c r="AJ111" s="76">
        <v>1.4499422163249582E-2</v>
      </c>
      <c r="AK111" s="41">
        <v>7.6699999999999997E-3</v>
      </c>
      <c r="AL111" s="42">
        <v>2.9587381757479776E-2</v>
      </c>
      <c r="AM111" s="79">
        <v>8.2100000000000003E-3</v>
      </c>
      <c r="AN111" s="9"/>
      <c r="BB111" s="9"/>
      <c r="BC111" s="150" t="s">
        <v>127</v>
      </c>
      <c r="BD111" s="151">
        <v>0.32101727447216888</v>
      </c>
      <c r="BE111" s="151">
        <v>0.38883853424834908</v>
      </c>
      <c r="BF111" s="151">
        <v>0.2757964812173086</v>
      </c>
      <c r="BG111" s="151">
        <v>0.50874012689369419</v>
      </c>
      <c r="BH111" s="151">
        <v>0.86317440950303403</v>
      </c>
      <c r="BI111" s="151">
        <v>3.1968031968031968E-2</v>
      </c>
      <c r="BJ111" s="151">
        <v>5.8608058608058608E-2</v>
      </c>
      <c r="BK111" s="151">
        <v>3.5737407743105014E-2</v>
      </c>
      <c r="BL111" s="151">
        <v>0.12728214424446457</v>
      </c>
      <c r="BM111" s="151">
        <v>0.5387575625413541</v>
      </c>
      <c r="BN111" s="165">
        <v>107.30084894271144</v>
      </c>
      <c r="BO111" s="168">
        <v>191.08692268727535</v>
      </c>
      <c r="BP111" s="9"/>
    </row>
    <row r="112" spans="1:68" x14ac:dyDescent="0.2">
      <c r="A112" s="9"/>
      <c r="B112" s="3">
        <v>2019</v>
      </c>
      <c r="C112" s="51" t="s">
        <v>27</v>
      </c>
      <c r="D112" s="26" t="s">
        <v>19</v>
      </c>
      <c r="E112" s="71">
        <f>(T112-W112)/(R112-W112-Z112+AD112)</f>
        <v>0.30334881447078954</v>
      </c>
      <c r="F112" s="71">
        <f>AA112/Q112</f>
        <v>0.41507392715470609</v>
      </c>
      <c r="G112" s="71">
        <f>(U112+V112+W112)/T112</f>
        <v>0.32135380321004886</v>
      </c>
      <c r="H112" s="71">
        <f>(AA112+X112)/Q112</f>
        <v>0.56184637576631802</v>
      </c>
      <c r="I112" s="71">
        <f>(AA112/R112)+((T112+Y112+AB112)/(R112+Y112+AB112+AD112))</f>
        <v>0.8203548801641346</v>
      </c>
      <c r="J112" s="71">
        <f>W112/AA112</f>
        <v>8.3405734144222421E-2</v>
      </c>
      <c r="K112" s="71">
        <f>(AC112+AD112)/AA112</f>
        <v>2.3457862728062554E-2</v>
      </c>
      <c r="L112" s="71">
        <f>Z112/Q112</f>
        <v>0.12991345113595384</v>
      </c>
      <c r="M112" s="71">
        <f>(Y112+AB112)/Q112</f>
        <v>9.7006851785070319E-2</v>
      </c>
      <c r="N112" s="57">
        <f>(E112*0.7635+F112*0.7562+G112*0.75+H112*0.7248+I112*0.7021+J112*0.6285+1-K112*0.5884+1-L112*0.5276+M112*0.3663)/6.931</f>
        <v>0.54469884013259751</v>
      </c>
      <c r="O112" s="64">
        <f>N112/0.5106*100</f>
        <v>106.67819039024626</v>
      </c>
      <c r="P112" s="155">
        <f>(O112-100)/100*Q112*0.3389</f>
        <v>251.03843918338433</v>
      </c>
      <c r="Q112" s="54">
        <v>11092</v>
      </c>
      <c r="R112" s="54">
        <f>Q112-Y112-AB112-AC112-AD112</f>
        <v>9908</v>
      </c>
      <c r="S112" s="20" t="s">
        <v>19</v>
      </c>
      <c r="T112" s="19">
        <v>2866</v>
      </c>
      <c r="U112" s="19">
        <v>488</v>
      </c>
      <c r="V112" s="19">
        <v>49</v>
      </c>
      <c r="W112" s="19">
        <v>384</v>
      </c>
      <c r="X112" s="19">
        <v>1628</v>
      </c>
      <c r="Y112" s="54">
        <v>1062</v>
      </c>
      <c r="Z112" s="19">
        <v>1441</v>
      </c>
      <c r="AA112" s="54">
        <f>T112+U112+V112*2+W112*3</f>
        <v>4604</v>
      </c>
      <c r="AB112" s="19">
        <v>14</v>
      </c>
      <c r="AC112" s="19">
        <v>9</v>
      </c>
      <c r="AD112" s="19">
        <v>99</v>
      </c>
      <c r="AE112" s="9"/>
      <c r="AF112" s="6">
        <v>1911</v>
      </c>
      <c r="AG112" s="77">
        <v>3.464889473740064E-2</v>
      </c>
      <c r="AH112" s="85">
        <v>0.4811731889482303</v>
      </c>
      <c r="AI112" s="86">
        <v>0.51183489586192776</v>
      </c>
      <c r="AJ112" s="76">
        <v>1.4039965616410735E-2</v>
      </c>
      <c r="AK112" s="41">
        <v>8.9599999999999992E-3</v>
      </c>
      <c r="AL112" s="42">
        <v>3.0605639333128164E-2</v>
      </c>
      <c r="AM112" s="79">
        <v>7.7200000000000003E-3</v>
      </c>
      <c r="AN112" s="9"/>
      <c r="BB112" s="9"/>
      <c r="BC112" s="150" t="s">
        <v>58</v>
      </c>
      <c r="BD112" s="151">
        <v>0.34143571104043619</v>
      </c>
      <c r="BE112" s="151">
        <v>0.41624315871774825</v>
      </c>
      <c r="BF112" s="151">
        <v>0.24291626870423433</v>
      </c>
      <c r="BG112" s="151">
        <v>0.52746286161063327</v>
      </c>
      <c r="BH112" s="151">
        <v>0.84678857855940604</v>
      </c>
      <c r="BI112" s="151">
        <v>3.1697581591922985E-2</v>
      </c>
      <c r="BJ112" s="151">
        <v>3.0523597088518432E-2</v>
      </c>
      <c r="BK112" s="151">
        <v>4.241594996090696E-2</v>
      </c>
      <c r="BL112" s="151">
        <v>7.9554339327599685E-2</v>
      </c>
      <c r="BM112" s="151">
        <v>0.54006575262326073</v>
      </c>
      <c r="BN112" s="165">
        <v>105.50219820731796</v>
      </c>
      <c r="BO112" s="168">
        <v>190.79558958211297</v>
      </c>
      <c r="BP112" s="9"/>
    </row>
    <row r="113" spans="1:68" x14ac:dyDescent="0.2">
      <c r="A113" s="9"/>
      <c r="B113" s="3">
        <v>1955</v>
      </c>
      <c r="C113" s="51" t="s">
        <v>219</v>
      </c>
      <c r="D113" s="26">
        <v>0.77700000000000002</v>
      </c>
      <c r="E113" s="71">
        <f>(T113-W113)/(R113-W113-Z113+AD113)</f>
        <v>0.30461650308978555</v>
      </c>
      <c r="F113" s="71">
        <f>AA113/Q113</f>
        <v>0.43068493150684933</v>
      </c>
      <c r="G113" s="71">
        <f>(U113+V113+W113)/T113</f>
        <v>0.36401673640167365</v>
      </c>
      <c r="H113" s="71">
        <f>(AA113+X113)/Q113</f>
        <v>0.59219178082191781</v>
      </c>
      <c r="I113" s="71">
        <f>(AA113/R113)+((T113+Y113+AB113)/(R113+Y113+AB113+AD113))</f>
        <v>0.86238545585980875</v>
      </c>
      <c r="J113" s="71">
        <f>W113/AA113</f>
        <v>7.5063613231552168E-2</v>
      </c>
      <c r="K113" s="71">
        <f>(AC113+AD113)/AA113</f>
        <v>5.8524173027989825E-2</v>
      </c>
      <c r="L113" s="71">
        <f>Z113/Q113</f>
        <v>9.5479452054794522E-2</v>
      </c>
      <c r="M113" s="71">
        <f>(Y113+AB113)/Q113</f>
        <v>0.1010958904109589</v>
      </c>
      <c r="N113" s="57">
        <f>(E113*0.7635+F113*0.7562+G113*0.75+H113*0.7248+I113*0.7021+J113*0.6285+1-K113*0.5884+1-L113*0.5276+M113*0.3663)/6.931</f>
        <v>0.55769311097597318</v>
      </c>
      <c r="O113" s="64">
        <f>N113/0.5065*100</f>
        <v>110.1072282282277</v>
      </c>
      <c r="P113" s="155">
        <f>(O113-100)/100*Q113*0.3389</f>
        <v>250.04979419788478</v>
      </c>
      <c r="Q113" s="54">
        <v>7300</v>
      </c>
      <c r="R113" s="21">
        <f>Q113-Y113-AB113-AC113-AD113</f>
        <v>6378</v>
      </c>
      <c r="S113" s="20" t="s">
        <v>19</v>
      </c>
      <c r="T113" s="19">
        <v>1912</v>
      </c>
      <c r="U113" s="19">
        <v>396</v>
      </c>
      <c r="V113" s="19">
        <v>64</v>
      </c>
      <c r="W113" s="19">
        <v>236</v>
      </c>
      <c r="X113" s="19">
        <v>1179</v>
      </c>
      <c r="Y113" s="54">
        <v>703</v>
      </c>
      <c r="Z113" s="19">
        <v>697</v>
      </c>
      <c r="AA113" s="54">
        <f>T113+U113+V113*2+W113*3</f>
        <v>3144</v>
      </c>
      <c r="AB113" s="19">
        <v>35</v>
      </c>
      <c r="AC113" s="19">
        <v>127</v>
      </c>
      <c r="AD113" s="21">
        <v>57</v>
      </c>
      <c r="AE113" s="9"/>
      <c r="AF113" s="6">
        <v>1910</v>
      </c>
      <c r="AG113" s="77">
        <v>3.0202566413458649E-2</v>
      </c>
      <c r="AH113" s="85">
        <v>0.46281718913132708</v>
      </c>
      <c r="AI113" s="86">
        <v>0.52332978515818329</v>
      </c>
      <c r="AJ113" s="76">
        <v>1.2445817776061113E-2</v>
      </c>
      <c r="AK113" s="41">
        <v>8.4899999999999993E-3</v>
      </c>
      <c r="AL113" s="42">
        <v>3.2402042830779798E-2</v>
      </c>
      <c r="AM113" s="79">
        <v>7.5100000000000002E-3</v>
      </c>
      <c r="AN113" s="9"/>
      <c r="BB113" s="9"/>
      <c r="BC113" s="150" t="s">
        <v>205</v>
      </c>
      <c r="BD113" s="151">
        <v>0.32906173389792737</v>
      </c>
      <c r="BE113" s="151">
        <v>0.38547758284600392</v>
      </c>
      <c r="BF113" s="151">
        <v>0.23970539002343488</v>
      </c>
      <c r="BG113" s="151">
        <v>0.49044834307992202</v>
      </c>
      <c r="BH113" s="151">
        <v>0.8031898593078135</v>
      </c>
      <c r="BI113" s="151">
        <v>8.5967130214917829E-3</v>
      </c>
      <c r="BJ113" s="151">
        <v>7.4589127686472814E-2</v>
      </c>
      <c r="BK113" s="151">
        <v>2.6803118908382065E-2</v>
      </c>
      <c r="BL113" s="151">
        <v>7.4463937621832357E-2</v>
      </c>
      <c r="BM113" s="151">
        <v>0.52179512191591937</v>
      </c>
      <c r="BN113" s="165">
        <v>105.45576433223916</v>
      </c>
      <c r="BO113" s="168">
        <v>189.7031454032942</v>
      </c>
      <c r="BP113" s="9"/>
    </row>
    <row r="114" spans="1:68" x14ac:dyDescent="0.2">
      <c r="A114" s="9"/>
      <c r="B114" s="3">
        <v>1985</v>
      </c>
      <c r="C114" s="51" t="s">
        <v>126</v>
      </c>
      <c r="D114" s="26" t="s">
        <v>19</v>
      </c>
      <c r="E114" s="71">
        <f>(T114-W114)/(R114-W114-Z114+AD114)</f>
        <v>0.30529509100937674</v>
      </c>
      <c r="F114" s="71">
        <f>AA114/Q114</f>
        <v>0.39606030593155056</v>
      </c>
      <c r="G114" s="71">
        <f>(U114+V114+W114)/T114</f>
        <v>0.30633655056651282</v>
      </c>
      <c r="H114" s="71">
        <f>(AA114+X114)/Q114</f>
        <v>0.53956201166501594</v>
      </c>
      <c r="I114" s="71">
        <f>(AA114/R114)+((T114+Y114+AB114)/(R114+Y114+AB114+AD114))</f>
        <v>0.83755372223408009</v>
      </c>
      <c r="J114" s="71">
        <f>W114/AA114</f>
        <v>4.6957488191164215E-2</v>
      </c>
      <c r="K114" s="71">
        <f>(AC114+AD114)/AA114</f>
        <v>3.9455404278966377E-2</v>
      </c>
      <c r="L114" s="71">
        <f>Z114/Q114</f>
        <v>5.9205458347089249E-2</v>
      </c>
      <c r="M114" s="71">
        <f>(Y114+AB114)/Q114</f>
        <v>0.11609992296687575</v>
      </c>
      <c r="N114" s="57">
        <f>(E114*0.7635+F114*0.7562+G114*0.75+H114*0.7248+I114*0.7021+J114*0.6285+1-K114*0.5884+1-L114*0.5276+M114*0.3663)/6.931</f>
        <v>0.54235389642195619</v>
      </c>
      <c r="O114" s="64">
        <f>N114/0.5024*100</f>
        <v>107.95260677188618</v>
      </c>
      <c r="P114" s="155">
        <f>(O114-100)/100*Q114*0.3389</f>
        <v>244.90722958774364</v>
      </c>
      <c r="Q114" s="54">
        <v>9087</v>
      </c>
      <c r="R114" s="21">
        <f>Q114-Y114-AB114-AC114-AD114</f>
        <v>7890</v>
      </c>
      <c r="S114" s="20" t="s">
        <v>19</v>
      </c>
      <c r="T114" s="19">
        <v>2383</v>
      </c>
      <c r="U114" s="19">
        <v>413</v>
      </c>
      <c r="V114" s="19">
        <v>148</v>
      </c>
      <c r="W114" s="19">
        <v>169</v>
      </c>
      <c r="X114" s="19">
        <v>1304</v>
      </c>
      <c r="Y114" s="54">
        <v>1018</v>
      </c>
      <c r="Z114" s="19">
        <v>538</v>
      </c>
      <c r="AA114" s="54">
        <f>T114+U114+V114*2+W114*3</f>
        <v>3599</v>
      </c>
      <c r="AB114" s="19">
        <v>37</v>
      </c>
      <c r="AC114" s="19">
        <v>73</v>
      </c>
      <c r="AD114" s="21">
        <v>69</v>
      </c>
      <c r="AE114" s="9"/>
      <c r="AF114" s="6">
        <v>1909</v>
      </c>
      <c r="AG114" s="77">
        <v>2.9037577398958184E-2</v>
      </c>
      <c r="AH114" s="85">
        <v>0.45351062421994298</v>
      </c>
      <c r="AI114" s="86">
        <v>0.52915773974806435</v>
      </c>
      <c r="AJ114" s="76">
        <v>1.0953249391182798E-2</v>
      </c>
      <c r="AK114" s="41">
        <v>8.3400000000000002E-3</v>
      </c>
      <c r="AL114" s="42">
        <v>3.4028240381780255E-2</v>
      </c>
      <c r="AM114" s="79">
        <v>7.4000000000000003E-3</v>
      </c>
      <c r="AN114" s="9"/>
      <c r="BB114" s="9"/>
      <c r="BC114" s="150" t="s">
        <v>77</v>
      </c>
      <c r="BD114" s="151">
        <v>0.26196473551637278</v>
      </c>
      <c r="BE114" s="151">
        <v>0.38773699966736891</v>
      </c>
      <c r="BF114" s="151">
        <v>0.34703632887189295</v>
      </c>
      <c r="BG114" s="151">
        <v>0.52356137044018181</v>
      </c>
      <c r="BH114" s="151">
        <v>0.77345827657084221</v>
      </c>
      <c r="BI114" s="151">
        <v>9.2650843580211611E-2</v>
      </c>
      <c r="BJ114" s="151">
        <v>3.7746639977123249E-2</v>
      </c>
      <c r="BK114" s="151">
        <v>0.11054440625346491</v>
      </c>
      <c r="BL114" s="151">
        <v>0.10156336622685441</v>
      </c>
      <c r="BM114" s="151">
        <v>0.53252297549873895</v>
      </c>
      <c r="BN114" s="165">
        <v>106.18603698878147</v>
      </c>
      <c r="BO114" s="168">
        <v>189.07863930256812</v>
      </c>
      <c r="BP114" s="9"/>
    </row>
    <row r="115" spans="1:68" x14ac:dyDescent="0.2">
      <c r="A115" s="9"/>
      <c r="B115" s="3">
        <v>1969</v>
      </c>
      <c r="C115" s="51" t="s">
        <v>188</v>
      </c>
      <c r="D115" s="26">
        <v>0.79400000000000004</v>
      </c>
      <c r="E115" s="71">
        <f>(T115-W115)/(R115-W115-Z115+AD115)</f>
        <v>0.27115019011406843</v>
      </c>
      <c r="F115" s="71">
        <f>AA115/Q115</f>
        <v>0.43679178470254959</v>
      </c>
      <c r="G115" s="71">
        <f>(U115+V115+W115)/T115</f>
        <v>0.3683083511777302</v>
      </c>
      <c r="H115" s="71">
        <f>(AA115+X115)/Q115</f>
        <v>0.61685552407932009</v>
      </c>
      <c r="I115" s="71">
        <f>(AA115/R115)+((T115+Y115+AB115)/(R115+Y115+AB115+AD115))</f>
        <v>0.86423753079927257</v>
      </c>
      <c r="J115" s="71">
        <f>W115/AA115</f>
        <v>0.10539116335630321</v>
      </c>
      <c r="K115" s="71">
        <f>(AC115+AD115)/AA115</f>
        <v>3.4860154033238749E-2</v>
      </c>
      <c r="L115" s="71">
        <f>Z115/Q115</f>
        <v>8.8703966005665727E-2</v>
      </c>
      <c r="M115" s="71">
        <f>(Y115+AB115)/Q115</f>
        <v>0.11260623229461757</v>
      </c>
      <c r="N115" s="57">
        <f>(E115*0.7635+F115*0.7562+G115*0.75+H115*0.7248+I115*0.7021+J115*0.6285+1-K115*0.5884+1-L115*0.5276+M115*0.3663)/6.931</f>
        <v>0.56378711835457007</v>
      </c>
      <c r="O115" s="64">
        <f>N115/0.5001*100</f>
        <v>112.7348766955749</v>
      </c>
      <c r="P115" s="155">
        <f>(O115-100)/100*Q115*0.3389</f>
        <v>243.75919174112119</v>
      </c>
      <c r="Q115" s="54">
        <v>5648</v>
      </c>
      <c r="R115" s="21">
        <f>Q115-Y115-AB115-AC115-AD115</f>
        <v>4926</v>
      </c>
      <c r="S115" s="20" t="s">
        <v>19</v>
      </c>
      <c r="T115" s="19">
        <v>1401</v>
      </c>
      <c r="U115" s="19">
        <v>226</v>
      </c>
      <c r="V115" s="19">
        <v>30</v>
      </c>
      <c r="W115" s="19">
        <v>260</v>
      </c>
      <c r="X115" s="19">
        <v>1017</v>
      </c>
      <c r="Y115" s="54">
        <v>605</v>
      </c>
      <c r="Z115" s="19">
        <v>501</v>
      </c>
      <c r="AA115" s="54">
        <f>T115+U115+V115*2+W115*3</f>
        <v>2467</v>
      </c>
      <c r="AB115" s="19">
        <v>31</v>
      </c>
      <c r="AC115" s="19">
        <v>43</v>
      </c>
      <c r="AD115" s="21">
        <v>43</v>
      </c>
      <c r="AE115" s="9"/>
      <c r="AF115" s="6">
        <v>1908</v>
      </c>
      <c r="AG115" s="77">
        <v>2.7710962469933112E-2</v>
      </c>
      <c r="AH115" s="85">
        <v>0.44862605082083457</v>
      </c>
      <c r="AI115" s="86">
        <v>0.53221655599573514</v>
      </c>
      <c r="AJ115" s="76">
        <v>1.0994321614111393E-2</v>
      </c>
      <c r="AK115" s="41">
        <v>8.4700000000000001E-3</v>
      </c>
      <c r="AL115" s="42">
        <v>3.5487165969224688E-2</v>
      </c>
      <c r="AM115" s="79">
        <v>8.3700000000000007E-3</v>
      </c>
      <c r="AN115" s="9"/>
      <c r="BB115" s="9"/>
      <c r="BC115" s="150" t="s">
        <v>208</v>
      </c>
      <c r="BD115" s="151">
        <v>0.31075174825174823</v>
      </c>
      <c r="BE115" s="151">
        <v>0.40094260225551254</v>
      </c>
      <c r="BF115" s="151">
        <v>0.30838131797824697</v>
      </c>
      <c r="BG115" s="151">
        <v>0.52903551590641307</v>
      </c>
      <c r="BH115" s="151">
        <v>0.88974679117150524</v>
      </c>
      <c r="BI115" s="151">
        <v>5.9193954659949623E-2</v>
      </c>
      <c r="BJ115" s="151">
        <v>6.3392107472712012E-2</v>
      </c>
      <c r="BK115" s="151">
        <v>4.8981652920383777E-2</v>
      </c>
      <c r="BL115" s="151">
        <v>0.1393704763507827</v>
      </c>
      <c r="BM115" s="151">
        <v>0.54898082210118715</v>
      </c>
      <c r="BN115" s="165">
        <v>109.27166045007708</v>
      </c>
      <c r="BO115" s="168">
        <v>186.67606581321391</v>
      </c>
      <c r="BP115" s="9"/>
    </row>
    <row r="116" spans="1:68" x14ac:dyDescent="0.2">
      <c r="A116" s="9"/>
      <c r="B116" s="3">
        <v>1990</v>
      </c>
      <c r="C116" s="51" t="s">
        <v>114</v>
      </c>
      <c r="D116" s="26">
        <v>0.81799999999999995</v>
      </c>
      <c r="E116" s="71">
        <f>(T116-W116)/(R116-W116-Z116+AD116)</f>
        <v>0.27799752781211373</v>
      </c>
      <c r="F116" s="71">
        <f>AA116/Q116</f>
        <v>0.34972195251125432</v>
      </c>
      <c r="G116" s="71">
        <f>(U116+V116+W116)/T116</f>
        <v>0.32300357568533972</v>
      </c>
      <c r="H116" s="71">
        <f>(AA116+X116)/Q116</f>
        <v>0.44973077941565892</v>
      </c>
      <c r="I116" s="71">
        <f>(AA116/R116)+((T116+Y116+AB116)/(R116+Y116+AB116+AD116))</f>
        <v>0.81916851533069135</v>
      </c>
      <c r="J116" s="71">
        <f>W116/AA116</f>
        <v>6.7642604745078244E-2</v>
      </c>
      <c r="K116" s="71">
        <f>(AC116+AD116)/AA116</f>
        <v>3.7102473498233215E-2</v>
      </c>
      <c r="L116" s="71">
        <f>Z116/Q116</f>
        <v>8.9593079706946771E-2</v>
      </c>
      <c r="M116" s="71">
        <f>(Y116+AB116)/Q116</f>
        <v>0.16815252890811191</v>
      </c>
      <c r="N116" s="57">
        <f>(E116*0.7635+F116*0.7562+G116*0.75+H116*0.7248+I116*0.7021+J116*0.6285+1-K116*0.5884+1-L116*0.5276+M116*0.3663)/6.931</f>
        <v>0.52735158886643918</v>
      </c>
      <c r="O116" s="64">
        <f>N116/0.4959*100</f>
        <v>106.34232483695084</v>
      </c>
      <c r="P116" s="155">
        <f>(O116-100)/100*Q116*0.3389</f>
        <v>243.50709928571854</v>
      </c>
      <c r="Q116" s="54">
        <v>11329</v>
      </c>
      <c r="R116" s="54">
        <f>Q116-Y116-AB116-AC116-AD116</f>
        <v>9277</v>
      </c>
      <c r="S116" s="20" t="s">
        <v>19</v>
      </c>
      <c r="T116" s="19">
        <v>2517</v>
      </c>
      <c r="U116" s="19">
        <v>449</v>
      </c>
      <c r="V116" s="19">
        <v>96</v>
      </c>
      <c r="W116" s="19">
        <v>268</v>
      </c>
      <c r="X116" s="19">
        <v>1133</v>
      </c>
      <c r="Y116" s="54">
        <v>1865</v>
      </c>
      <c r="Z116" s="19">
        <v>1015</v>
      </c>
      <c r="AA116" s="54">
        <f>T116+U116+V116*2+W116*3</f>
        <v>3962</v>
      </c>
      <c r="AB116" s="19">
        <v>40</v>
      </c>
      <c r="AC116" s="19">
        <v>51</v>
      </c>
      <c r="AD116" s="19">
        <v>96</v>
      </c>
      <c r="AE116" s="9"/>
      <c r="AF116" s="6">
        <v>1907</v>
      </c>
      <c r="AG116" s="77">
        <v>2.7366904880616032E-2</v>
      </c>
      <c r="AH116" s="85">
        <v>0.45330950680980397</v>
      </c>
      <c r="AI116" s="86">
        <v>0.52928368343885501</v>
      </c>
      <c r="AJ116" s="76">
        <v>1.0636529832142264E-2</v>
      </c>
      <c r="AK116" s="41">
        <v>8.1899999999999994E-3</v>
      </c>
      <c r="AL116" s="42">
        <v>2.8829427732535592E-2</v>
      </c>
      <c r="AM116" s="79">
        <v>8.4600000000000005E-3</v>
      </c>
      <c r="AN116" s="9"/>
      <c r="BB116" s="9"/>
      <c r="BC116" s="150" t="s">
        <v>175</v>
      </c>
      <c r="BD116" s="151">
        <v>0.3488630061009429</v>
      </c>
      <c r="BE116" s="151">
        <v>0.48720975993703264</v>
      </c>
      <c r="BF116" s="151">
        <v>0.38397790055248621</v>
      </c>
      <c r="BG116" s="151">
        <v>0.70365997638724909</v>
      </c>
      <c r="BH116" s="151">
        <v>1.0452056962480614</v>
      </c>
      <c r="BI116" s="151">
        <v>7.6736672051696278E-2</v>
      </c>
      <c r="BJ116" s="151">
        <v>4.5234248788368334E-2</v>
      </c>
      <c r="BK116" s="151">
        <v>7.9889807162534437E-2</v>
      </c>
      <c r="BL116" s="151">
        <v>0.15899252262888627</v>
      </c>
      <c r="BM116" s="151">
        <v>0.60659678061397815</v>
      </c>
      <c r="BN116" s="165">
        <v>121.66000413437187</v>
      </c>
      <c r="BO116" s="168">
        <v>186.52402094293251</v>
      </c>
      <c r="BP116" s="9"/>
    </row>
    <row r="117" spans="1:68" x14ac:dyDescent="0.2">
      <c r="A117" s="9"/>
      <c r="B117" s="3">
        <v>1998</v>
      </c>
      <c r="C117" s="51" t="s">
        <v>93</v>
      </c>
      <c r="D117" s="26" t="s">
        <v>19</v>
      </c>
      <c r="E117" s="71">
        <f>(T117-W117)/(R117-W117-Z117+AD117)</f>
        <v>0.31176329083473658</v>
      </c>
      <c r="F117" s="71">
        <f>AA117/Q117</f>
        <v>0.35961123110151189</v>
      </c>
      <c r="G117" s="71">
        <f>(U117+V117+W117)/T117</f>
        <v>0.25853658536585367</v>
      </c>
      <c r="H117" s="71">
        <f>(AA117+X117)/Q117</f>
        <v>0.50098173964264681</v>
      </c>
      <c r="I117" s="71">
        <f>(AA117/R117)+((T117+Y117+AB117)/(R117+Y117+AB117+AD117))</f>
        <v>0.77399490710540331</v>
      </c>
      <c r="J117" s="71">
        <f>W117/AA117</f>
        <v>1.992901992901993E-2</v>
      </c>
      <c r="K117" s="71">
        <f>(AC117+AD117)/AA117</f>
        <v>8.7087087087087081E-2</v>
      </c>
      <c r="L117" s="71">
        <f>Z117/Q117</f>
        <v>6.0180640094247007E-2</v>
      </c>
      <c r="M117" s="71">
        <f>(Y117+AB117)/Q117</f>
        <v>9.316709208717848E-2</v>
      </c>
      <c r="N117" s="57">
        <f>(E117*0.7635+F117*0.7562+G117*0.75+H117*0.7248+I117*0.7021+J117*0.6285+1-K117*0.5884+1-L117*0.5276+M117*0.3663)/6.931</f>
        <v>0.51566357824390774</v>
      </c>
      <c r="O117" s="64">
        <f>N117/0.4817*100</f>
        <v>107.05077397631466</v>
      </c>
      <c r="P117" s="155">
        <f>(O117-100)/100*Q117*0.3389</f>
        <v>243.39521363636962</v>
      </c>
      <c r="Q117" s="54">
        <v>10186</v>
      </c>
      <c r="R117" s="21">
        <f>Q117-Y117-AB117-AC117-AD117</f>
        <v>8918</v>
      </c>
      <c r="S117" s="20" t="s">
        <v>19</v>
      </c>
      <c r="T117" s="19">
        <v>2665</v>
      </c>
      <c r="U117" s="19">
        <v>453</v>
      </c>
      <c r="V117" s="19">
        <v>163</v>
      </c>
      <c r="W117" s="19">
        <v>73</v>
      </c>
      <c r="X117" s="19">
        <v>1440</v>
      </c>
      <c r="Y117" s="54">
        <v>874</v>
      </c>
      <c r="Z117" s="19">
        <v>613</v>
      </c>
      <c r="AA117" s="54">
        <f>T117+U117+V117*2+W117*3</f>
        <v>3663</v>
      </c>
      <c r="AB117" s="19">
        <v>75</v>
      </c>
      <c r="AC117" s="21">
        <v>237</v>
      </c>
      <c r="AD117" s="21">
        <v>82</v>
      </c>
      <c r="AE117" s="9"/>
      <c r="AF117" s="6">
        <v>1906</v>
      </c>
      <c r="AG117" s="77">
        <v>2.9238596725099424E-2</v>
      </c>
      <c r="AH117" s="85">
        <v>0.45626911679074211</v>
      </c>
      <c r="AI117" s="86">
        <v>0.5274303172681033</v>
      </c>
      <c r="AJ117" s="76">
        <v>1.1153324890577441E-2</v>
      </c>
      <c r="AK117" s="41">
        <v>8.09E-3</v>
      </c>
      <c r="AL117" s="42">
        <v>2.9982892310426803E-2</v>
      </c>
      <c r="AM117" s="79">
        <v>8.6999999999999994E-3</v>
      </c>
      <c r="AN117" s="9"/>
      <c r="BB117" s="9"/>
      <c r="BC117" s="150" t="s">
        <v>89</v>
      </c>
      <c r="BD117" s="151">
        <v>0.30335781741867784</v>
      </c>
      <c r="BE117" s="151">
        <v>0.38615397175279614</v>
      </c>
      <c r="BF117" s="151">
        <v>0.30553787396562698</v>
      </c>
      <c r="BG117" s="151">
        <v>0.50093885215119605</v>
      </c>
      <c r="BH117" s="151">
        <v>0.77188593557019347</v>
      </c>
      <c r="BI117" s="151">
        <v>5.3065539112050739E-2</v>
      </c>
      <c r="BJ117" s="151">
        <v>4.7991543340380548E-2</v>
      </c>
      <c r="BK117" s="151">
        <v>0.11021307861866275</v>
      </c>
      <c r="BL117" s="151">
        <v>8.2782267940240017E-2</v>
      </c>
      <c r="BM117" s="151">
        <v>0.5244678285404144</v>
      </c>
      <c r="BN117" s="165">
        <v>104.47566305585944</v>
      </c>
      <c r="BO117" s="168">
        <v>185.79310265767242</v>
      </c>
      <c r="BP117" s="9"/>
    </row>
    <row r="118" spans="1:68" x14ac:dyDescent="0.2">
      <c r="A118" s="9"/>
      <c r="B118" s="3">
        <v>1964</v>
      </c>
      <c r="C118" s="51" t="s">
        <v>201</v>
      </c>
      <c r="D118" s="26" t="s">
        <v>19</v>
      </c>
      <c r="E118" s="71">
        <f>(T118-W118)/(R118-W118-Z118+AD118)</f>
        <v>0.33504510756419154</v>
      </c>
      <c r="F118" s="71">
        <f>AA118/Q118</f>
        <v>0.43516979339824269</v>
      </c>
      <c r="G118" s="71">
        <f>(U118+V118+W118)/T118</f>
        <v>0.30150554675118857</v>
      </c>
      <c r="H118" s="71">
        <f>(AA118+X118)/Q118</f>
        <v>0.57563524103538355</v>
      </c>
      <c r="I118" s="71">
        <f>(AA118/R118)+((T118+Y118+AB118)/(R118+Y118+AB118+AD118))</f>
        <v>0.85901416509007456</v>
      </c>
      <c r="J118" s="71">
        <f>W118/AA118</f>
        <v>3.0013642564802184E-2</v>
      </c>
      <c r="K118" s="71">
        <f>(AC118+AD118)/AA118</f>
        <v>6.8758526603001358E-2</v>
      </c>
      <c r="L118" s="71">
        <f>Z118/Q118</f>
        <v>4.0964141534077417E-2</v>
      </c>
      <c r="M118" s="71">
        <f>(Y118+AB118)/Q118</f>
        <v>6.8392305865590128E-2</v>
      </c>
      <c r="N118" s="57">
        <f>(E118*0.7635+F118*0.7562+G118*0.75+H118*0.7248+I118*0.7021+J118*0.6285+1-K118*0.5884+1-L118*0.5276+M118*0.3663)/6.931</f>
        <v>0.55016465781742163</v>
      </c>
      <c r="O118" s="64">
        <f>N118/0.5073*100</f>
        <v>108.44956787254519</v>
      </c>
      <c r="P118" s="155">
        <f>(O118-100)/100*Q118*0.3389</f>
        <v>241.16890124990863</v>
      </c>
      <c r="Q118" s="54">
        <v>8422</v>
      </c>
      <c r="R118" s="21">
        <f>Q118-Y118-AB118-AC118-AD118</f>
        <v>7594</v>
      </c>
      <c r="S118" s="20" t="s">
        <v>19</v>
      </c>
      <c r="T118" s="19">
        <v>2524</v>
      </c>
      <c r="U118" s="19">
        <v>491</v>
      </c>
      <c r="V118" s="19">
        <v>160</v>
      </c>
      <c r="W118" s="19">
        <v>110</v>
      </c>
      <c r="X118" s="19">
        <v>1183</v>
      </c>
      <c r="Y118" s="54">
        <v>506</v>
      </c>
      <c r="Z118" s="19">
        <v>345</v>
      </c>
      <c r="AA118" s="54">
        <f>T118+U118+V118*2+W118*3</f>
        <v>3665</v>
      </c>
      <c r="AB118" s="19">
        <v>70</v>
      </c>
      <c r="AC118" s="19">
        <v>186</v>
      </c>
      <c r="AD118" s="21">
        <v>66</v>
      </c>
      <c r="AE118" s="9"/>
      <c r="AF118" s="6">
        <v>1905</v>
      </c>
      <c r="AG118" s="77">
        <v>3.1143753813965652E-2</v>
      </c>
      <c r="AH118" s="85">
        <v>0.46295407114925324</v>
      </c>
      <c r="AI118" s="86">
        <v>0.52324406693752501</v>
      </c>
      <c r="AJ118" s="76">
        <v>1.2204690088048122E-2</v>
      </c>
      <c r="AK118" s="41">
        <v>8.9099999999999995E-3</v>
      </c>
      <c r="AL118" s="42">
        <v>2.7286199982564728E-2</v>
      </c>
      <c r="AM118" s="79">
        <v>7.5599999999999999E-3</v>
      </c>
      <c r="AN118" s="9"/>
      <c r="BB118" s="9"/>
      <c r="BC118" s="150" t="s">
        <v>71</v>
      </c>
      <c r="BD118" s="151">
        <v>0.3705357142857143</v>
      </c>
      <c r="BE118" s="151">
        <v>0.4516310461192351</v>
      </c>
      <c r="BF118" s="151">
        <v>0.30661696178937559</v>
      </c>
      <c r="BG118" s="151">
        <v>0.65523059617547807</v>
      </c>
      <c r="BH118" s="151">
        <v>0.96671782371881676</v>
      </c>
      <c r="BI118" s="151">
        <v>4.7945205479452052E-2</v>
      </c>
      <c r="BJ118" s="151">
        <v>5.3549190535491904E-2</v>
      </c>
      <c r="BK118" s="151">
        <v>7.9865016872890895E-2</v>
      </c>
      <c r="BL118" s="151">
        <v>0.12626546681664791</v>
      </c>
      <c r="BM118" s="151">
        <v>0.57867166814904936</v>
      </c>
      <c r="BN118" s="165">
        <v>115.04406921452272</v>
      </c>
      <c r="BO118" s="168">
        <v>181.30035061987024</v>
      </c>
      <c r="BP118" s="9"/>
    </row>
    <row r="119" spans="1:68" x14ac:dyDescent="0.2">
      <c r="A119" s="9"/>
      <c r="B119" s="3">
        <v>1997</v>
      </c>
      <c r="C119" s="51" t="s">
        <v>98</v>
      </c>
      <c r="D119" s="26" t="s">
        <v>19</v>
      </c>
      <c r="E119" s="71">
        <f>(T119-W119)/(R119-W119-Z119+AD119)</f>
        <v>0.33850204798127559</v>
      </c>
      <c r="F119" s="71">
        <f>AA119/Q119</f>
        <v>0.46386073159982372</v>
      </c>
      <c r="G119" s="71">
        <f>(U119+V119+W119)/T119</f>
        <v>0.35697764070932925</v>
      </c>
      <c r="H119" s="71">
        <f>(AA119+X119)/Q119</f>
        <v>0.65755839576906128</v>
      </c>
      <c r="I119" s="71">
        <f>(AA119/R119)+((T119+Y119+AB119)/(R119+Y119+AB119+AD119))</f>
        <v>0.95029753194810263</v>
      </c>
      <c r="J119" s="71">
        <f>W119/AA119</f>
        <v>6.6508313539192399E-2</v>
      </c>
      <c r="K119" s="71">
        <f>(AC119+AD119)/AA119</f>
        <v>6.4608076009501192E-2</v>
      </c>
      <c r="L119" s="71">
        <f>Z119/Q119</f>
        <v>7.9991185544292645E-2</v>
      </c>
      <c r="M119" s="71">
        <f>(Y119+AB119)/Q119</f>
        <v>0.11370647862494491</v>
      </c>
      <c r="N119" s="57">
        <f>(E119*0.7635+F119*0.7562+G119*0.75+H119*0.7248+I119*0.7021+J119*0.6285+1-K119*0.5884+1-L119*0.5276+M119*0.3663)/6.931</f>
        <v>0.58057793516061262</v>
      </c>
      <c r="O119" s="64">
        <f>N119/0.5022*100</f>
        <v>115.60691659908655</v>
      </c>
      <c r="P119" s="155">
        <f>(O119-100)/100*Q119*0.3389</f>
        <v>240.02317152783291</v>
      </c>
      <c r="Q119" s="54">
        <v>4538</v>
      </c>
      <c r="R119" s="21">
        <f>Q119-Y119-AB119-AC119-AD119</f>
        <v>3886</v>
      </c>
      <c r="S119" s="20" t="s">
        <v>19</v>
      </c>
      <c r="T119" s="19">
        <v>1297</v>
      </c>
      <c r="U119" s="19">
        <v>258</v>
      </c>
      <c r="V119" s="19">
        <v>65</v>
      </c>
      <c r="W119" s="19">
        <v>140</v>
      </c>
      <c r="X119" s="19">
        <v>879</v>
      </c>
      <c r="Y119" s="54">
        <v>489</v>
      </c>
      <c r="Z119" s="21">
        <v>363</v>
      </c>
      <c r="AA119" s="54">
        <f>T119+U119+V119*2+W119*3</f>
        <v>2105</v>
      </c>
      <c r="AB119" s="19">
        <v>27</v>
      </c>
      <c r="AC119" s="19">
        <v>101</v>
      </c>
      <c r="AD119" s="21">
        <v>35</v>
      </c>
      <c r="AE119" s="9"/>
      <c r="AF119" s="6">
        <v>1904</v>
      </c>
      <c r="AG119" s="77">
        <v>3.1169029944571384E-2</v>
      </c>
      <c r="AH119" s="85">
        <v>0.46236406413141473</v>
      </c>
      <c r="AI119" s="86">
        <v>0.52361354097444557</v>
      </c>
      <c r="AJ119" s="76">
        <v>1.261629623151013E-2</v>
      </c>
      <c r="AK119" s="41">
        <v>8.4899999999999993E-3</v>
      </c>
      <c r="AL119" s="42">
        <v>2.4259585214662892E-2</v>
      </c>
      <c r="AM119" s="79">
        <v>8.6599999999999993E-3</v>
      </c>
      <c r="AN119" s="9"/>
      <c r="BB119" s="9"/>
      <c r="BC119" s="150" t="s">
        <v>110</v>
      </c>
      <c r="BD119" s="151">
        <v>0.35851798038503452</v>
      </c>
      <c r="BE119" s="151">
        <v>0.378957345971564</v>
      </c>
      <c r="BF119" s="151">
        <v>0.2125777923354078</v>
      </c>
      <c r="BG119" s="151">
        <v>0.47516587677725119</v>
      </c>
      <c r="BH119" s="151">
        <v>0.82221499114192653</v>
      </c>
      <c r="BI119" s="151">
        <v>2.301150575287644E-2</v>
      </c>
      <c r="BJ119" s="151">
        <v>4.8024012006003002E-2</v>
      </c>
      <c r="BK119" s="151">
        <v>9.7440758293838858E-2</v>
      </c>
      <c r="BL119" s="151">
        <v>9.8862559241706158E-2</v>
      </c>
      <c r="BM119" s="151">
        <v>0.52119690580636024</v>
      </c>
      <c r="BN119" s="165">
        <v>104.95306198275478</v>
      </c>
      <c r="BO119" s="168">
        <v>177.09153047831506</v>
      </c>
      <c r="BP119" s="9"/>
    </row>
    <row r="120" spans="1:68" x14ac:dyDescent="0.2">
      <c r="A120" s="9"/>
      <c r="B120" s="3">
        <v>2020</v>
      </c>
      <c r="C120" s="51" t="s">
        <v>22</v>
      </c>
      <c r="D120" s="26" t="s">
        <v>19</v>
      </c>
      <c r="E120" s="71">
        <f>(T120-W120)/(R120-W120-Z120+AD120)</f>
        <v>0.28374585353406478</v>
      </c>
      <c r="F120" s="71">
        <f>AA120/Q120</f>
        <v>0.391636551368095</v>
      </c>
      <c r="G120" s="71">
        <f>(U120+V120+W120)/T120</f>
        <v>0.31472491909385114</v>
      </c>
      <c r="H120" s="71">
        <f>(AA120+X120)/Q120</f>
        <v>0.53505420753742905</v>
      </c>
      <c r="I120" s="71">
        <f>(AA120/R120)+((T120+Y120+AB120)/(R120+Y120+AB120+AD120))</f>
        <v>0.78492450665901958</v>
      </c>
      <c r="J120" s="71">
        <f>W120/AA120</f>
        <v>6.5383601370946481E-2</v>
      </c>
      <c r="K120" s="71">
        <f>(AC120+AD120)/AA120</f>
        <v>2.9264434484576853E-2</v>
      </c>
      <c r="L120" s="71">
        <f>Z120/Q120</f>
        <v>7.1657201858544142E-2</v>
      </c>
      <c r="M120" s="71">
        <f>(Y120+AB120)/Q120</f>
        <v>9.2307692307692313E-2</v>
      </c>
      <c r="N120" s="57">
        <f>(E120*0.7635+F120*0.7562+G120*0.75+H120*0.7248+I120*0.7021+J120*0.6285+1-K120*0.5884+1-L120*0.5276+M120*0.3663)/6.931</f>
        <v>0.53493325098676681</v>
      </c>
      <c r="O120" s="64">
        <f>N120/0.4987*100</f>
        <v>107.26554060292095</v>
      </c>
      <c r="P120" s="155">
        <f>(O120-100)/100*Q120*0.3389</f>
        <v>238.47295214545179</v>
      </c>
      <c r="Q120" s="54">
        <v>9685</v>
      </c>
      <c r="R120" s="54">
        <f>Q120-Y120-AB120-AC120-AD120</f>
        <v>8680</v>
      </c>
      <c r="S120" s="20" t="s">
        <v>19</v>
      </c>
      <c r="T120" s="19">
        <v>2472</v>
      </c>
      <c r="U120" s="19">
        <v>483</v>
      </c>
      <c r="V120" s="19">
        <v>47</v>
      </c>
      <c r="W120" s="19">
        <v>248</v>
      </c>
      <c r="X120" s="19">
        <v>1389</v>
      </c>
      <c r="Y120" s="54">
        <v>855</v>
      </c>
      <c r="Z120" s="19">
        <v>694</v>
      </c>
      <c r="AA120" s="54">
        <f>T120+U120+V120*2+W120*3</f>
        <v>3793</v>
      </c>
      <c r="AB120" s="19">
        <v>39</v>
      </c>
      <c r="AC120" s="19">
        <v>11</v>
      </c>
      <c r="AD120" s="19">
        <v>100</v>
      </c>
      <c r="AE120" s="9"/>
      <c r="AF120" s="6">
        <v>1903</v>
      </c>
      <c r="AG120" s="77">
        <v>3.6168995279195079E-2</v>
      </c>
      <c r="AH120" s="85">
        <v>0.47759267461629551</v>
      </c>
      <c r="AI120" s="86">
        <v>0.51407708458930756</v>
      </c>
      <c r="AJ120" s="76">
        <v>1.384054170044347E-2</v>
      </c>
      <c r="AK120" s="41">
        <v>8.6899999999999998E-3</v>
      </c>
      <c r="AL120" s="42">
        <v>2.3985503790949405E-2</v>
      </c>
      <c r="AM120" s="79">
        <v>8.3999999999999995E-3</v>
      </c>
      <c r="AN120" s="9"/>
      <c r="BB120" s="9"/>
      <c r="BC120" s="150" t="s">
        <v>47</v>
      </c>
      <c r="BD120" s="151">
        <v>0.32814005782203665</v>
      </c>
      <c r="BE120" s="151">
        <v>0.37358382331851425</v>
      </c>
      <c r="BF120" s="151">
        <v>0.18964683115626513</v>
      </c>
      <c r="BG120" s="151">
        <v>0.51527319661551696</v>
      </c>
      <c r="BH120" s="151">
        <v>0.76115059490359038</v>
      </c>
      <c r="BI120" s="151">
        <v>9.2130518234165067E-3</v>
      </c>
      <c r="BJ120" s="151">
        <v>7.5623800383877157E-2</v>
      </c>
      <c r="BK120" s="151">
        <v>3.1693675605908501E-2</v>
      </c>
      <c r="BL120" s="151">
        <v>5.1484296572493905E-2</v>
      </c>
      <c r="BM120" s="151">
        <v>0.51169794601161345</v>
      </c>
      <c r="BN120" s="165">
        <v>107.47698929040399</v>
      </c>
      <c r="BO120" s="168">
        <v>176.69244998521404</v>
      </c>
      <c r="BP120" s="9"/>
    </row>
    <row r="121" spans="1:68" x14ac:dyDescent="0.2">
      <c r="A121" s="9"/>
      <c r="B121" s="3">
        <v>1939</v>
      </c>
      <c r="C121" s="51" t="s">
        <v>265</v>
      </c>
      <c r="D121" s="26" t="s">
        <v>19</v>
      </c>
      <c r="E121" s="71">
        <f>(T121-W121)/(R121-W121-Z121+AD121)</f>
        <v>0.320280296784831</v>
      </c>
      <c r="F121" s="71">
        <f>AA121/Q121</f>
        <v>0.42342342342342343</v>
      </c>
      <c r="G121" s="71">
        <f>(U121+V121+W121)/T121</f>
        <v>0.30707692307692308</v>
      </c>
      <c r="H121" s="71">
        <f>(AA121+X121)/Q121</f>
        <v>0.57640332640332637</v>
      </c>
      <c r="I121" s="71">
        <f>(AA121/R121)+((T121+Y121+AB121)/(R121+Y121+AB121+AD121))</f>
        <v>0.83757894079172313</v>
      </c>
      <c r="J121" s="71">
        <f>W121/AA121</f>
        <v>2.9050736497545009E-2</v>
      </c>
      <c r="K121" s="71">
        <f>(AC121+AD121)/AA121</f>
        <v>6.5466448445171854E-2</v>
      </c>
      <c r="L121" s="71">
        <f>Z121/Q121</f>
        <v>5.0935550935550938E-2</v>
      </c>
      <c r="M121" s="71">
        <f>(Y121+AB121)/Q121</f>
        <v>7.623007623007623E-2</v>
      </c>
      <c r="N121" s="57">
        <f>(E121*0.7635+F121*0.7562+G121*0.75+H121*0.7248+I121*0.7021+J121*0.6285+1-K121*0.5884+1-L121*0.5276+M121*0.3663)/6.931</f>
        <v>0.54561581400602388</v>
      </c>
      <c r="O121" s="64">
        <f>N121/0.4872*100</f>
        <v>111.99010960714774</v>
      </c>
      <c r="P121" s="155">
        <f>(O121-100)/100*Q121*0.3389</f>
        <v>234.54222697917601</v>
      </c>
      <c r="Q121" s="54">
        <v>5772</v>
      </c>
      <c r="R121" s="21">
        <f>Q121-Y121-AB121-AC121-AD121</f>
        <v>5172</v>
      </c>
      <c r="S121" s="19" t="s">
        <v>19</v>
      </c>
      <c r="T121" s="19">
        <v>1625</v>
      </c>
      <c r="U121" s="19">
        <v>250</v>
      </c>
      <c r="V121" s="19">
        <v>178</v>
      </c>
      <c r="W121" s="19">
        <v>71</v>
      </c>
      <c r="X121" s="19">
        <v>883</v>
      </c>
      <c r="Y121" s="54">
        <v>392</v>
      </c>
      <c r="Z121" s="19">
        <v>294</v>
      </c>
      <c r="AA121" s="54">
        <f>T121+U121+V121*2+W121*3</f>
        <v>2444</v>
      </c>
      <c r="AB121" s="21">
        <v>48</v>
      </c>
      <c r="AC121" s="21">
        <v>115</v>
      </c>
      <c r="AD121" s="21">
        <v>45</v>
      </c>
      <c r="AE121" s="9"/>
      <c r="AF121" s="6">
        <v>1902</v>
      </c>
      <c r="AG121" s="77">
        <v>3.349378496327747E-2</v>
      </c>
      <c r="AH121" s="85">
        <v>0.47655920331544288</v>
      </c>
      <c r="AI121" s="86">
        <v>0.51472426471093846</v>
      </c>
      <c r="AJ121" s="76">
        <v>1.1625844145092427E-2</v>
      </c>
      <c r="AK121" s="41">
        <v>8.4700000000000001E-3</v>
      </c>
      <c r="AL121" s="42">
        <v>2.1702364197603869E-2</v>
      </c>
      <c r="AM121" s="79">
        <v>8.5299999999999994E-3</v>
      </c>
      <c r="AN121" s="9"/>
      <c r="BB121" s="9"/>
      <c r="BC121" s="150" t="s">
        <v>211</v>
      </c>
      <c r="BD121" s="151">
        <v>0.3674740484429066</v>
      </c>
      <c r="BE121" s="151">
        <v>0.35694572217111314</v>
      </c>
      <c r="BF121" s="151">
        <v>0.17421441774491683</v>
      </c>
      <c r="BG121" s="151">
        <v>0.45446182152713893</v>
      </c>
      <c r="BH121" s="151">
        <v>0.90503996924028229</v>
      </c>
      <c r="BI121" s="151">
        <v>1.4727540500736377E-2</v>
      </c>
      <c r="BJ121" s="151">
        <v>7.6951399116347574E-2</v>
      </c>
      <c r="BK121" s="151">
        <v>4.7575239847548953E-2</v>
      </c>
      <c r="BL121" s="151">
        <v>0.16795899592587726</v>
      </c>
      <c r="BM121" s="151">
        <v>0.5260962104567668</v>
      </c>
      <c r="BN121" s="165">
        <v>106.75653621281793</v>
      </c>
      <c r="BO121" s="168">
        <v>174.230130422851</v>
      </c>
      <c r="BP121" s="9"/>
    </row>
    <row r="122" spans="1:68" x14ac:dyDescent="0.2">
      <c r="A122" s="9"/>
      <c r="B122" s="3">
        <v>2019</v>
      </c>
      <c r="C122" s="106" t="s">
        <v>24</v>
      </c>
      <c r="D122" s="98">
        <v>0.85399999999999998</v>
      </c>
      <c r="E122" s="99">
        <f>(T122-W122)/(R122-W122-Z122+AD122)</f>
        <v>0.294189453125</v>
      </c>
      <c r="F122" s="99">
        <f>AA122/Q122</f>
        <v>0.34685921857003632</v>
      </c>
      <c r="G122" s="99">
        <f>(U122+V122+W122)/T122</f>
        <v>0.28420256991685561</v>
      </c>
      <c r="H122" s="99">
        <f>(AA122+S122)/Q122</f>
        <v>0.4474173828298042</v>
      </c>
      <c r="I122" s="99">
        <f>(AA122/R122)+((T122+Y122+AB122)/(R122+Y122+AB122+AD122))</f>
        <v>0.66928996355328807</v>
      </c>
      <c r="J122" s="99">
        <f>W122/AA122</f>
        <v>6.0280970625798215E-2</v>
      </c>
      <c r="K122" s="99">
        <f>(AC122+AD122)/AA122</f>
        <v>3.3205619412515965E-2</v>
      </c>
      <c r="L122" s="99">
        <f>Z122/Q122</f>
        <v>0.18756091078231593</v>
      </c>
      <c r="M122" s="99">
        <f>(Y122+AB122)/Q122</f>
        <v>5.9626118543457077E-2</v>
      </c>
      <c r="N122" s="100">
        <f>(1-E122*0.7635+1-F122*0.7562+1-G122*0.75+1-H122*0.7248+1-I122*0.7021+1-J122*0.6285+K122*0.5884+L122*0.5276+1-M122*0.3663)/11.068</f>
        <v>0.50275664684344468</v>
      </c>
      <c r="O122" s="101">
        <f>N122/0.4875*100</f>
        <v>103.12956858327071</v>
      </c>
      <c r="P122" s="102">
        <f>(O122-100)/100*Q122*0.6611</f>
        <v>233.52326580247811</v>
      </c>
      <c r="Q122" s="54">
        <v>11287</v>
      </c>
      <c r="R122" s="54">
        <f>Q122-Y122-AB122-AC122-AD122</f>
        <v>10484</v>
      </c>
      <c r="S122" s="19">
        <v>1135</v>
      </c>
      <c r="T122" s="19">
        <v>2646</v>
      </c>
      <c r="U122" s="19">
        <v>471</v>
      </c>
      <c r="V122" s="19">
        <v>45</v>
      </c>
      <c r="W122" s="19">
        <v>236</v>
      </c>
      <c r="X122" s="19" t="s">
        <v>19</v>
      </c>
      <c r="Y122" s="54">
        <v>592</v>
      </c>
      <c r="Z122" s="19">
        <v>2117</v>
      </c>
      <c r="AA122" s="54">
        <f>T122+U122+V122*2+W122*3</f>
        <v>3915</v>
      </c>
      <c r="AB122" s="19">
        <v>81</v>
      </c>
      <c r="AC122" s="19">
        <v>69</v>
      </c>
      <c r="AD122" s="19">
        <v>61</v>
      </c>
      <c r="AE122" s="9"/>
      <c r="AF122" s="6">
        <v>1901</v>
      </c>
      <c r="AG122" s="77">
        <v>3.4353426552116179E-2</v>
      </c>
      <c r="AH122" s="85">
        <v>0.48656025125521307</v>
      </c>
      <c r="AI122" s="86">
        <v>0.5084614111447523</v>
      </c>
      <c r="AJ122" s="76">
        <v>1.4510249768515806E-2</v>
      </c>
      <c r="AK122" s="41">
        <v>9.7300000000000008E-3</v>
      </c>
      <c r="AL122" s="42">
        <v>1.9597041690596468E-2</v>
      </c>
      <c r="AM122" s="79">
        <v>7.4999999999999997E-3</v>
      </c>
      <c r="AN122" s="9"/>
      <c r="BB122" s="9"/>
      <c r="BC122" s="150" t="s">
        <v>239</v>
      </c>
      <c r="BD122" s="151">
        <v>0.31686647374948324</v>
      </c>
      <c r="BE122" s="151">
        <v>0.39768153276445017</v>
      </c>
      <c r="BF122" s="151">
        <v>0.31234866828087166</v>
      </c>
      <c r="BG122" s="151">
        <v>0.53131540814683631</v>
      </c>
      <c r="BH122" s="151">
        <v>0.90066907978351485</v>
      </c>
      <c r="BI122" s="151">
        <v>4.8178137651821863E-2</v>
      </c>
      <c r="BJ122" s="151">
        <v>8.0566801619433193E-2</v>
      </c>
      <c r="BK122" s="151">
        <v>3.4938013202382871E-2</v>
      </c>
      <c r="BL122" s="151">
        <v>0.14265013685396877</v>
      </c>
      <c r="BM122" s="151">
        <v>0.54985815907387403</v>
      </c>
      <c r="BN122" s="165">
        <v>108.17591168087233</v>
      </c>
      <c r="BO122" s="168">
        <v>172.09541086770449</v>
      </c>
      <c r="BP122" s="9"/>
    </row>
    <row r="123" spans="1:68" x14ac:dyDescent="0.2">
      <c r="A123" s="9"/>
      <c r="B123" s="3">
        <v>1971</v>
      </c>
      <c r="C123" s="51" t="s">
        <v>179</v>
      </c>
      <c r="D123" s="26" t="s">
        <v>19</v>
      </c>
      <c r="E123" s="71">
        <f>(T123-W123)/(R123-W123-Z123+AD123)</f>
        <v>0.32656132430398799</v>
      </c>
      <c r="F123" s="71">
        <f>AA123/Q123</f>
        <v>0.47556684910086006</v>
      </c>
      <c r="G123" s="71">
        <f>(U123+V123+W123)/T123</f>
        <v>0.39017735334242837</v>
      </c>
      <c r="H123" s="71">
        <f>(AA123+X123)/Q123</f>
        <v>0.63838936669272872</v>
      </c>
      <c r="I123" s="71">
        <f>(AA123/R123)+((T123+Y123+AB123)/(R123+Y123+AB123+AD123))</f>
        <v>0.90204289873409182</v>
      </c>
      <c r="J123" s="71">
        <f>W123/AA123</f>
        <v>6.7406494040279485E-2</v>
      </c>
      <c r="K123" s="71">
        <f>(AC123+AD123)/AA123</f>
        <v>5.0554870530209621E-2</v>
      </c>
      <c r="L123" s="71">
        <f>Z123/Q123</f>
        <v>9.3236903831118059E-2</v>
      </c>
      <c r="M123" s="71">
        <f>(Y123+AB123)/Q123</f>
        <v>7.9163408913213454E-2</v>
      </c>
      <c r="N123" s="57">
        <f>(E123*0.7635+F123*0.7562+G123*0.75+H123*0.7248+I123*0.7021+J123*0.6285+1-K123*0.5884+1-L123*0.5276+M123*0.3663)/6.931</f>
        <v>0.57568019499221401</v>
      </c>
      <c r="O123" s="64">
        <f>N123/0.5077*100</f>
        <v>113.38983553126137</v>
      </c>
      <c r="P123" s="155">
        <f>(O123-100)/100*Q123*0.3389</f>
        <v>232.15462878061547</v>
      </c>
      <c r="Q123" s="54">
        <v>5116</v>
      </c>
      <c r="R123" s="21">
        <f>Q123-Y123-AB123-AC123-AD123</f>
        <v>4588</v>
      </c>
      <c r="S123" s="20" t="s">
        <v>19</v>
      </c>
      <c r="T123" s="19">
        <v>1466</v>
      </c>
      <c r="U123" s="19">
        <v>341</v>
      </c>
      <c r="V123" s="19">
        <v>67</v>
      </c>
      <c r="W123" s="19">
        <v>164</v>
      </c>
      <c r="X123" s="19">
        <v>833</v>
      </c>
      <c r="Y123" s="54">
        <v>372</v>
      </c>
      <c r="Z123" s="19">
        <v>477</v>
      </c>
      <c r="AA123" s="54">
        <f>T123+U123+V123*2+W123*3</f>
        <v>2433</v>
      </c>
      <c r="AB123" s="19">
        <v>33</v>
      </c>
      <c r="AC123" s="19">
        <v>83</v>
      </c>
      <c r="AD123" s="21">
        <v>40</v>
      </c>
      <c r="AE123" s="9"/>
      <c r="AF123" s="6">
        <v>1900</v>
      </c>
      <c r="AG123" s="77">
        <v>3.2930895711164768E-2</v>
      </c>
      <c r="AH123" s="85">
        <v>0.4911027946758732</v>
      </c>
      <c r="AI123" s="86">
        <v>0.50561678081871386</v>
      </c>
      <c r="AJ123" s="76">
        <v>1.3958836380361044E-2</v>
      </c>
      <c r="AK123" s="41">
        <v>1.18E-2</v>
      </c>
      <c r="AL123" s="42">
        <v>1.8535127055306428E-2</v>
      </c>
      <c r="AM123" s="79">
        <v>8.5100000000000002E-3</v>
      </c>
      <c r="AN123" s="9"/>
      <c r="BB123" s="9"/>
      <c r="BC123" s="150" t="s">
        <v>73</v>
      </c>
      <c r="BD123" s="151">
        <v>0.30431009545849003</v>
      </c>
      <c r="BE123" s="151">
        <v>0.40799396681749622</v>
      </c>
      <c r="BF123" s="151">
        <v>0.31894383906119028</v>
      </c>
      <c r="BG123" s="151">
        <v>0.52230122818358116</v>
      </c>
      <c r="BH123" s="151">
        <v>0.7954945514440025</v>
      </c>
      <c r="BI123" s="151">
        <v>7.4465275944019013E-2</v>
      </c>
      <c r="BJ123" s="151">
        <v>2.6934248745709006E-2</v>
      </c>
      <c r="BK123" s="151">
        <v>0.13574660633484162</v>
      </c>
      <c r="BL123" s="151">
        <v>8.5649644473173886E-2</v>
      </c>
      <c r="BM123" s="151">
        <v>0.53496771012541278</v>
      </c>
      <c r="BN123" s="165">
        <v>105.39158985922236</v>
      </c>
      <c r="BO123" s="168">
        <v>169.60161394142042</v>
      </c>
      <c r="BP123" s="9"/>
    </row>
    <row r="124" spans="1:68" x14ac:dyDescent="0.2">
      <c r="A124" s="9"/>
      <c r="B124" s="3">
        <v>1977</v>
      </c>
      <c r="C124" s="106" t="s">
        <v>151</v>
      </c>
      <c r="D124" s="98" t="s">
        <v>19</v>
      </c>
      <c r="E124" s="103">
        <f>(T124-W124)/(R124-W124-Z124+AD124)</f>
        <v>0.27268987081379081</v>
      </c>
      <c r="F124" s="103">
        <f>AA124/Q124</f>
        <v>0.28572304297186291</v>
      </c>
      <c r="G124" s="103">
        <f>(U124+V124+W124)/T124</f>
        <v>0.25848332841546179</v>
      </c>
      <c r="H124" s="103">
        <f>(AA124+S124)/Q124</f>
        <v>0.41249310365965797</v>
      </c>
      <c r="I124" s="103">
        <f>(AA124/R124)+((T124+Y124+AB124)/(R124+Y124+AB124+AD124))</f>
        <v>0.65735204497340971</v>
      </c>
      <c r="J124" s="103">
        <f>W124/AA124</f>
        <v>1.6090967603518559E-2</v>
      </c>
      <c r="K124" s="103">
        <f>(AC124+AD124)/AA124</f>
        <v>9.568762068225703E-2</v>
      </c>
      <c r="L124" s="103">
        <f>Z124/Q124</f>
        <v>0.11953656592901367</v>
      </c>
      <c r="M124" s="103">
        <f>(Y124+AB124)/Q124</f>
        <v>0.11150616073070557</v>
      </c>
      <c r="N124" s="104">
        <f>(1-E124*0.7635+1-F124*0.7562+1-G124*0.75+1-H124*0.7248+1-I124*0.7021+1-J124*0.6285+K124*0.5884+L124*0.5276+1-M124*0.3663)/11.068</f>
        <v>0.51407529438900612</v>
      </c>
      <c r="O124" s="105">
        <f>N124/0.5033*100</f>
        <v>102.140928748064</v>
      </c>
      <c r="P124" s="102">
        <f>(O124-100)/100*Q124*0.6611</f>
        <v>230.88898108064774</v>
      </c>
      <c r="Q124" s="54">
        <v>16313</v>
      </c>
      <c r="R124" s="21">
        <f>Q124-Y124-AB124-AC124-AD124</f>
        <v>14048</v>
      </c>
      <c r="S124" s="19">
        <v>2068</v>
      </c>
      <c r="T124" s="19">
        <v>3389</v>
      </c>
      <c r="U124" s="21">
        <v>555</v>
      </c>
      <c r="V124" s="21">
        <v>246</v>
      </c>
      <c r="W124" s="19">
        <v>75</v>
      </c>
      <c r="X124" s="20" t="s">
        <v>19</v>
      </c>
      <c r="Y124" s="54">
        <v>1707</v>
      </c>
      <c r="Z124" s="19">
        <v>1950</v>
      </c>
      <c r="AA124" s="21">
        <f>T124+U124+V124*2+W124*3</f>
        <v>4661</v>
      </c>
      <c r="AB124" s="19">
        <v>112</v>
      </c>
      <c r="AC124" s="21">
        <v>316</v>
      </c>
      <c r="AD124" s="21">
        <v>130</v>
      </c>
      <c r="AE124" s="9"/>
      <c r="AF124" s="6">
        <v>1899</v>
      </c>
      <c r="AG124" s="77">
        <v>3.1435671846435101E-2</v>
      </c>
      <c r="AH124" s="85">
        <v>0.49108684072138409</v>
      </c>
      <c r="AI124" s="86">
        <v>0.50562677149982727</v>
      </c>
      <c r="AJ124" s="76">
        <v>1.4439556672760511E-2</v>
      </c>
      <c r="AK124" s="41">
        <v>1.24E-2</v>
      </c>
      <c r="AL124" s="42">
        <v>1.8895680987202925E-2</v>
      </c>
      <c r="AM124" s="79">
        <v>8.1200000000000005E-3</v>
      </c>
      <c r="AN124" s="9"/>
      <c r="BB124" s="9"/>
      <c r="BC124" s="150" t="s">
        <v>72</v>
      </c>
      <c r="BD124" s="151">
        <v>0.34375371448948056</v>
      </c>
      <c r="BE124" s="151">
        <v>0.37839851024208565</v>
      </c>
      <c r="BF124" s="151">
        <v>0.2514950166112957</v>
      </c>
      <c r="BG124" s="151">
        <v>0.47281191806331468</v>
      </c>
      <c r="BH124" s="151">
        <v>0.85769545652678447</v>
      </c>
      <c r="BI124" s="151">
        <v>2.9035433070866142E-2</v>
      </c>
      <c r="BJ124" s="151">
        <v>3.0757874015748032E-2</v>
      </c>
      <c r="BK124" s="151">
        <v>6.9366852886405955E-2</v>
      </c>
      <c r="BL124" s="151">
        <v>0.13361266294227189</v>
      </c>
      <c r="BM124" s="151">
        <v>0.53305431231035361</v>
      </c>
      <c r="BN124" s="165">
        <v>104.4794810486777</v>
      </c>
      <c r="BO124" s="168">
        <v>163.04352408242403</v>
      </c>
      <c r="BP124" s="9"/>
    </row>
    <row r="125" spans="1:68" x14ac:dyDescent="0.2">
      <c r="A125" s="9"/>
      <c r="B125" s="3">
        <v>2007</v>
      </c>
      <c r="C125" s="51" t="s">
        <v>57</v>
      </c>
      <c r="D125" s="26">
        <v>0.98499999999999999</v>
      </c>
      <c r="E125" s="71">
        <f>(T125-W125)/(R125-W125-Z125+AD125)</f>
        <v>0.27690605511969424</v>
      </c>
      <c r="F125" s="71">
        <f>AA125/Q125</f>
        <v>0.40114880074516807</v>
      </c>
      <c r="G125" s="71">
        <f>(U125+V125+W125)/T125</f>
        <v>0.33856783919597988</v>
      </c>
      <c r="H125" s="71">
        <f>(AA125+X125)/Q125</f>
        <v>0.53271753473569816</v>
      </c>
      <c r="I125" s="71">
        <f>(AA125/R125)+((T125+Y125+AB125)/(R125+Y125+AB125+AD125))</f>
        <v>0.78757649759065851</v>
      </c>
      <c r="J125" s="71">
        <f>W125/AA125</f>
        <v>8.3397832817337467E-2</v>
      </c>
      <c r="K125" s="71">
        <f>(AC125+AD125)/AA125</f>
        <v>2.6509287925696595E-2</v>
      </c>
      <c r="L125" s="71">
        <f>Z125/Q125</f>
        <v>0.1012962819219126</v>
      </c>
      <c r="M125" s="71">
        <f>(Y125+AB125)/Q125</f>
        <v>9.2757898005123032E-2</v>
      </c>
      <c r="N125" s="57">
        <f>(E125*0.7635+F125*0.7562+G125*0.75+H125*0.7248+I125*0.7021+J125*0.6285+1-K125*0.5884+1-L125*0.5276+M125*0.3663)/6.931</f>
        <v>0.53745697249266977</v>
      </c>
      <c r="O125" s="64">
        <f>N125/0.511*100</f>
        <v>105.1774897245929</v>
      </c>
      <c r="P125" s="155">
        <f>(O125-100)/100*Q125*0.3389</f>
        <v>226.051722813222</v>
      </c>
      <c r="Q125" s="54">
        <v>12883</v>
      </c>
      <c r="R125" s="54">
        <f>Q125-Y125-AB125-AC125-AD125</f>
        <v>11551</v>
      </c>
      <c r="S125" s="19" t="s">
        <v>19</v>
      </c>
      <c r="T125" s="19">
        <v>3184</v>
      </c>
      <c r="U125" s="19">
        <v>603</v>
      </c>
      <c r="V125" s="19">
        <v>44</v>
      </c>
      <c r="W125" s="19">
        <v>431</v>
      </c>
      <c r="X125" s="19">
        <v>1695</v>
      </c>
      <c r="Y125" s="54">
        <v>1129</v>
      </c>
      <c r="Z125" s="19">
        <v>1305</v>
      </c>
      <c r="AA125" s="54">
        <f>T125+U125+V125*2+W125*3</f>
        <v>5168</v>
      </c>
      <c r="AB125" s="19">
        <v>66</v>
      </c>
      <c r="AC125" s="19">
        <v>10</v>
      </c>
      <c r="AD125" s="19">
        <v>127</v>
      </c>
      <c r="AE125" s="9"/>
      <c r="AF125" s="6">
        <v>1898</v>
      </c>
      <c r="AG125" s="77">
        <v>2.9843919730146933E-2</v>
      </c>
      <c r="AH125" s="85">
        <v>0.480853815740654</v>
      </c>
      <c r="AI125" s="86">
        <v>0.51203489366656385</v>
      </c>
      <c r="AJ125" s="76">
        <v>1.2863758504373678E-2</v>
      </c>
      <c r="AK125" s="41">
        <v>1.2359999999999999E-2</v>
      </c>
      <c r="AL125" s="42">
        <v>1.9238465496541079E-2</v>
      </c>
      <c r="AM125" s="79">
        <v>8.43E-3</v>
      </c>
      <c r="AN125" s="9"/>
      <c r="BB125" s="9"/>
      <c r="BC125" s="150" t="s">
        <v>263</v>
      </c>
      <c r="BD125" s="151">
        <v>0.34442200308898657</v>
      </c>
      <c r="BE125" s="151">
        <v>0.37042429284525791</v>
      </c>
      <c r="BF125" s="151">
        <v>0.14290586630286495</v>
      </c>
      <c r="BG125" s="151">
        <v>0.45465890183028285</v>
      </c>
      <c r="BH125" s="151">
        <v>0.80669379355202664</v>
      </c>
      <c r="BI125" s="151">
        <v>9.2644581695676582E-3</v>
      </c>
      <c r="BJ125" s="151">
        <v>0.12773722627737227</v>
      </c>
      <c r="BK125" s="151">
        <v>1.4143094841930116E-2</v>
      </c>
      <c r="BL125" s="151">
        <v>6.7907653910149746E-2</v>
      </c>
      <c r="BM125" s="151">
        <v>0.5041482814372088</v>
      </c>
      <c r="BN125" s="165">
        <v>104.94343910016836</v>
      </c>
      <c r="BO125" s="168">
        <v>161.09987810228509</v>
      </c>
      <c r="BP125" s="9"/>
    </row>
    <row r="126" spans="1:68" x14ac:dyDescent="0.2">
      <c r="A126" s="9"/>
      <c r="B126" s="3">
        <v>1976</v>
      </c>
      <c r="C126" s="106" t="s">
        <v>153</v>
      </c>
      <c r="D126" s="98">
        <v>0.78600000000000003</v>
      </c>
      <c r="E126" s="99">
        <f>(T126-W126)/(R126-W126-Z126+AD126)</f>
        <v>0.25811001410437234</v>
      </c>
      <c r="F126" s="99">
        <f>AA126/Q126</f>
        <v>0.29671237402940692</v>
      </c>
      <c r="G126" s="99">
        <f>(U126+V126+W126)/T126</f>
        <v>0.2391559202813599</v>
      </c>
      <c r="H126" s="99">
        <f>(AA126+S126)/Q126</f>
        <v>0.39459772013877414</v>
      </c>
      <c r="I126" s="99">
        <f>(AA126/R126)+((T126+Y126+AB126)/(R126+Y126+AB126+AD126))</f>
        <v>0.66217844059606701</v>
      </c>
      <c r="J126" s="99">
        <f>W126/AA126</f>
        <v>5.0111358574610243E-2</v>
      </c>
      <c r="K126" s="99">
        <f>(AC126+AD126)/AA126</f>
        <v>6.0133630289532294E-2</v>
      </c>
      <c r="L126" s="99">
        <f>Z126/Q126</f>
        <v>0.10548488352882868</v>
      </c>
      <c r="M126" s="99">
        <f>(Y126+AB126)/Q126</f>
        <v>0.10804559722451677</v>
      </c>
      <c r="N126" s="100">
        <f>(1-E126*0.7635+1-F126*0.7562+1-G126*0.75+1-H126*0.7248+1-I126*0.7021+1-J126*0.6285+K126*0.5884+L126*0.5276+1-M126*0.3663)/11.068</f>
        <v>0.51212835359277742</v>
      </c>
      <c r="O126" s="101">
        <f>N126/0.4982*100</f>
        <v>102.79573536587263</v>
      </c>
      <c r="P126" s="102">
        <f>(O126-100)/100*Q126*0.6611</f>
        <v>223.75043433480863</v>
      </c>
      <c r="Q126" s="54">
        <v>12106</v>
      </c>
      <c r="R126" s="21">
        <f>Q126-Y126-AB126-AC126-AD126</f>
        <v>10582</v>
      </c>
      <c r="S126" s="19">
        <v>1185</v>
      </c>
      <c r="T126" s="19">
        <v>2559</v>
      </c>
      <c r="U126" s="19">
        <v>371</v>
      </c>
      <c r="V126" s="19">
        <v>61</v>
      </c>
      <c r="W126" s="19">
        <v>180</v>
      </c>
      <c r="X126" s="20" t="s">
        <v>19</v>
      </c>
      <c r="Y126" s="54">
        <v>1251</v>
      </c>
      <c r="Z126" s="19">
        <v>1277</v>
      </c>
      <c r="AA126" s="54">
        <f>T126+U126+V126*2+W126*3</f>
        <v>3592</v>
      </c>
      <c r="AB126" s="19">
        <v>57</v>
      </c>
      <c r="AC126" s="19">
        <v>124</v>
      </c>
      <c r="AD126" s="21">
        <v>92</v>
      </c>
      <c r="AE126" s="9"/>
      <c r="AF126" s="6">
        <v>1897</v>
      </c>
      <c r="AG126" s="77">
        <v>3.6698697686180302E-2</v>
      </c>
      <c r="AH126" s="85">
        <v>0.50294241869226464</v>
      </c>
      <c r="AI126" s="86">
        <v>0.4982025746335304</v>
      </c>
      <c r="AJ126" s="76">
        <v>1.5235807308129979E-2</v>
      </c>
      <c r="AK126" s="41">
        <v>1.1849999999999999E-2</v>
      </c>
      <c r="AL126" s="42">
        <v>1.7859400682766469E-2</v>
      </c>
      <c r="AM126" s="79">
        <v>8.4700000000000001E-3</v>
      </c>
      <c r="AN126" s="9"/>
      <c r="BB126" s="9"/>
      <c r="BC126" s="150" t="s">
        <v>37</v>
      </c>
      <c r="BD126" s="151">
        <v>0.3213243688950907</v>
      </c>
      <c r="BE126" s="151">
        <v>0.43339824732229798</v>
      </c>
      <c r="BF126" s="151">
        <v>0.32841068917018285</v>
      </c>
      <c r="BG126" s="151">
        <v>0.56309639727361249</v>
      </c>
      <c r="BH126" s="151">
        <v>0.79756119201460407</v>
      </c>
      <c r="BI126" s="151">
        <v>6.9871938890137042E-2</v>
      </c>
      <c r="BJ126" s="151">
        <v>2.403954167602786E-2</v>
      </c>
      <c r="BK126" s="151">
        <v>0.14352482960077897</v>
      </c>
      <c r="BL126" s="151">
        <v>5.5598831548198634E-2</v>
      </c>
      <c r="BM126" s="151">
        <v>0.54276247409905332</v>
      </c>
      <c r="BN126" s="165">
        <v>104.59866527250978</v>
      </c>
      <c r="BO126" s="168">
        <v>160.05668276966097</v>
      </c>
      <c r="BP126" s="9"/>
    </row>
    <row r="127" spans="1:68" x14ac:dyDescent="0.2">
      <c r="A127" s="9"/>
      <c r="B127" s="3">
        <v>1998</v>
      </c>
      <c r="C127" s="106" t="s">
        <v>92</v>
      </c>
      <c r="D127" s="98">
        <v>0.81599999999999995</v>
      </c>
      <c r="E127" s="99">
        <f>(T127-W127)/(R127-W127-Z127+AD127)</f>
        <v>0.26484247521024223</v>
      </c>
      <c r="F127" s="99">
        <f>AA127/Q127</f>
        <v>0.32619256928700319</v>
      </c>
      <c r="G127" s="99">
        <f>(U127+V127+W127)/T127</f>
        <v>0.27855924978687124</v>
      </c>
      <c r="H127" s="99">
        <f>(AA127+S127)/Q127</f>
        <v>0.42354138712811734</v>
      </c>
      <c r="I127" s="99">
        <f>(AA127/R127)+((T127+Y127+AB127)/(R127+Y127+AB127+AD127))</f>
        <v>0.64088441072012436</v>
      </c>
      <c r="J127" s="99">
        <f>W127/AA127</f>
        <v>6.6950354609929083E-2</v>
      </c>
      <c r="K127" s="99">
        <f>(AC127+AD127)/AA127</f>
        <v>4.75177304964539E-2</v>
      </c>
      <c r="L127" s="99">
        <f>Z127/Q127</f>
        <v>0.16536343867117012</v>
      </c>
      <c r="M127" s="99">
        <f>(Y127+AB127)/Q127</f>
        <v>6.5932540600564471E-2</v>
      </c>
      <c r="N127" s="100">
        <f>(1-E127*0.7635+1-F127*0.7562+1-G127*0.75+1-H127*0.7248+1-I127*0.7021+1-J127*0.6285+K127*0.5884+L127*0.5276+1-M127*0.3663)/11.068</f>
        <v>0.50905624911073644</v>
      </c>
      <c r="O127" s="101">
        <f>N127/0.5013*100</f>
        <v>101.54722703186445</v>
      </c>
      <c r="P127" s="102">
        <f>(O127-100)/100*Q127*0.6611</f>
        <v>221.07328013816678</v>
      </c>
      <c r="Q127" s="54">
        <v>21613</v>
      </c>
      <c r="R127" s="54">
        <f>Q127-Y127-AB127-AC127-AD127</f>
        <v>19853</v>
      </c>
      <c r="S127" s="19">
        <v>2104</v>
      </c>
      <c r="T127" s="19">
        <v>4692</v>
      </c>
      <c r="U127" s="19">
        <v>728</v>
      </c>
      <c r="V127" s="19">
        <v>107</v>
      </c>
      <c r="W127" s="19">
        <v>472</v>
      </c>
      <c r="X127" s="19" t="s">
        <v>19</v>
      </c>
      <c r="Y127" s="54">
        <v>1343</v>
      </c>
      <c r="Z127" s="19">
        <v>3574</v>
      </c>
      <c r="AA127" s="54">
        <f>T127+U127+V127*2+W127*3</f>
        <v>7050</v>
      </c>
      <c r="AB127" s="19">
        <v>82</v>
      </c>
      <c r="AC127" s="19">
        <v>208</v>
      </c>
      <c r="AD127" s="19">
        <v>127</v>
      </c>
      <c r="AE127" s="9"/>
      <c r="AF127" s="6">
        <v>1896</v>
      </c>
      <c r="AG127" s="77">
        <v>3.4806363490277999E-2</v>
      </c>
      <c r="AH127" s="85">
        <v>0.50340581607366153</v>
      </c>
      <c r="AI127" s="86">
        <v>0.49791238604928195</v>
      </c>
      <c r="AJ127" s="76">
        <v>1.616583641330548E-2</v>
      </c>
      <c r="AK127" s="41">
        <v>1.022E-2</v>
      </c>
      <c r="AL127" s="42">
        <v>1.8688735336654348E-2</v>
      </c>
      <c r="AM127" s="79">
        <v>8.5000000000000006E-3</v>
      </c>
      <c r="AN127" s="9"/>
      <c r="BB127" s="9"/>
      <c r="BC127" s="150" t="s">
        <v>168</v>
      </c>
      <c r="BD127" s="151">
        <v>0.30229508196721311</v>
      </c>
      <c r="BE127" s="151">
        <v>0.42468827930174563</v>
      </c>
      <c r="BF127" s="151">
        <v>0.30783758262511801</v>
      </c>
      <c r="BG127" s="151">
        <v>0.59625935162094768</v>
      </c>
      <c r="BH127" s="151">
        <v>0.87978950433769709</v>
      </c>
      <c r="BI127" s="151">
        <v>8.0446271285965945E-2</v>
      </c>
      <c r="BJ127" s="151">
        <v>3.3470346447445683E-2</v>
      </c>
      <c r="BK127" s="151">
        <v>7.7057356608478803E-2</v>
      </c>
      <c r="BL127" s="151">
        <v>0.12169576059850375</v>
      </c>
      <c r="BM127" s="151">
        <v>0.55799840907853082</v>
      </c>
      <c r="BN127" s="165">
        <v>111.75614041228337</v>
      </c>
      <c r="BO127" s="168">
        <v>159.76465502748567</v>
      </c>
      <c r="BP127" s="9"/>
    </row>
    <row r="128" spans="1:68" x14ac:dyDescent="0.2">
      <c r="A128" s="9"/>
      <c r="B128" s="3">
        <v>2009</v>
      </c>
      <c r="C128" s="51" t="s">
        <v>55</v>
      </c>
      <c r="D128" s="26" t="s">
        <v>19</v>
      </c>
      <c r="E128" s="71">
        <f>(T128-W128)/(R128-W128-Z128+AD128)</f>
        <v>0.26749057394218684</v>
      </c>
      <c r="F128" s="71">
        <f>AA128/Q128</f>
        <v>0.40660853602569985</v>
      </c>
      <c r="G128" s="71">
        <f>(U128+V128+W128)/T128</f>
        <v>0.37254901960784315</v>
      </c>
      <c r="H128" s="71">
        <f>(AA128+X128)/Q128</f>
        <v>0.55575952271684259</v>
      </c>
      <c r="I128" s="71">
        <f>(AA128/R128)+((T128+Y128+AB128)/(R128+Y128+AB128+AD128))</f>
        <v>0.82281752227922855</v>
      </c>
      <c r="J128" s="71">
        <f>W128/AA128</f>
        <v>9.5184349134687735E-2</v>
      </c>
      <c r="K128" s="71">
        <f>(AC128+AD128)/AA128</f>
        <v>3.0474040632054177E-2</v>
      </c>
      <c r="L128" s="71">
        <f>Z128/Q128</f>
        <v>0.10738871041762277</v>
      </c>
      <c r="M128" s="71">
        <f>(Y128+AB128)/Q128</f>
        <v>0.11901483861098364</v>
      </c>
      <c r="N128" s="57">
        <f>(E128*0.7635+F128*0.7562+G128*0.75+H128*0.7248+I128*0.7021+J128*0.6285+1-K128*0.5884+1-L128*0.5276+M128*0.3663)/6.931</f>
        <v>0.54832811527931125</v>
      </c>
      <c r="O128" s="64">
        <f>N128/0.4987*100</f>
        <v>109.95149694792687</v>
      </c>
      <c r="P128" s="155">
        <f>(O128-100)/100*Q128*0.3389</f>
        <v>220.46439857419844</v>
      </c>
      <c r="Q128" s="54">
        <v>6537</v>
      </c>
      <c r="R128" s="21">
        <f>Q128-Y128-AB128-AC128-AD128</f>
        <v>5678</v>
      </c>
      <c r="S128" s="19" t="s">
        <v>19</v>
      </c>
      <c r="T128" s="19">
        <v>1530</v>
      </c>
      <c r="U128" s="19">
        <v>265</v>
      </c>
      <c r="V128" s="19">
        <v>52</v>
      </c>
      <c r="W128" s="19">
        <v>253</v>
      </c>
      <c r="X128" s="19">
        <v>975</v>
      </c>
      <c r="Y128" s="54">
        <v>759</v>
      </c>
      <c r="Z128" s="19">
        <v>702</v>
      </c>
      <c r="AA128" s="54">
        <f>T128+U128+V128*2+W128*3</f>
        <v>2658</v>
      </c>
      <c r="AB128" s="19">
        <v>19</v>
      </c>
      <c r="AC128" s="19">
        <v>30</v>
      </c>
      <c r="AD128" s="21">
        <v>51</v>
      </c>
      <c r="AE128" s="9"/>
      <c r="AF128" s="6">
        <v>1895</v>
      </c>
      <c r="AG128" s="77">
        <v>3.797209507180721E-2</v>
      </c>
      <c r="AH128" s="85">
        <v>0.51194356633929117</v>
      </c>
      <c r="AI128" s="86">
        <v>0.49256587836125526</v>
      </c>
      <c r="AJ128" s="76">
        <v>1.568275840372485E-2</v>
      </c>
      <c r="AK128" s="41">
        <v>1.051E-2</v>
      </c>
      <c r="AL128" s="42">
        <v>1.568275840372485E-2</v>
      </c>
      <c r="AM128" s="79">
        <v>7.7099999999999998E-3</v>
      </c>
      <c r="AN128" s="9"/>
      <c r="BB128" s="9"/>
      <c r="BC128" s="150" t="s">
        <v>238</v>
      </c>
      <c r="BD128" s="151">
        <v>0.31765109890109888</v>
      </c>
      <c r="BE128" s="151">
        <v>0.38976338976338976</v>
      </c>
      <c r="BF128" s="151">
        <v>0.24618055555555557</v>
      </c>
      <c r="BG128" s="151">
        <v>0.51291951291951288</v>
      </c>
      <c r="BH128" s="151">
        <v>0.80446465561803726</v>
      </c>
      <c r="BI128" s="151">
        <v>2.6670053340106682E-2</v>
      </c>
      <c r="BJ128" s="151">
        <v>7.8486156972313939E-2</v>
      </c>
      <c r="BK128" s="151">
        <v>2.6928026928026927E-2</v>
      </c>
      <c r="BL128" s="151">
        <v>7.5141075141075139E-2</v>
      </c>
      <c r="BM128" s="151">
        <v>0.52551978448548753</v>
      </c>
      <c r="BN128" s="165">
        <v>104.26979850902531</v>
      </c>
      <c r="BO128" s="168">
        <v>146.16497653272341</v>
      </c>
      <c r="BP128" s="9"/>
    </row>
    <row r="129" spans="1:68" x14ac:dyDescent="0.2">
      <c r="A129" s="9"/>
      <c r="B129" s="3">
        <v>2001</v>
      </c>
      <c r="C129" s="51" t="s">
        <v>80</v>
      </c>
      <c r="D129" s="26">
        <v>0.82099999999999995</v>
      </c>
      <c r="E129" s="71">
        <f>(T129-W129)/(R129-W129-Z129+AD129)</f>
        <v>0.34208809135399676</v>
      </c>
      <c r="F129" s="71">
        <f>AA129/Q129</f>
        <v>0.44093985442472228</v>
      </c>
      <c r="G129" s="71">
        <f>(U129+V129+W129)/T129</f>
        <v>0.29427083333333331</v>
      </c>
      <c r="H129" s="71">
        <f>(AA129+X129)/Q129</f>
        <v>0.57949176350402243</v>
      </c>
      <c r="I129" s="71">
        <f>(AA129/R129)+((T129+Y129+AB129)/(R129+Y129+AB129+AD129))</f>
        <v>0.83655764295606994</v>
      </c>
      <c r="J129" s="71">
        <f>W129/AA129</f>
        <v>5.9947871416159863E-2</v>
      </c>
      <c r="K129" s="71">
        <f>(AC129+AD129)/AA129</f>
        <v>2.3457862728062554E-2</v>
      </c>
      <c r="L129" s="71">
        <f>Z129/Q129</f>
        <v>0.12322819563274166</v>
      </c>
      <c r="M129" s="71">
        <f>(Y129+AB129)/Q129</f>
        <v>6.4614991699655219E-2</v>
      </c>
      <c r="N129" s="57">
        <f>(E129*0.7635+F129*0.7562+G129*0.75+H129*0.7248+I129*0.7021+J129*0.6285+1-K129*0.5884+1-L129*0.5276+M129*0.3663)/6.931</f>
        <v>0.54901410448298038</v>
      </c>
      <c r="O129" s="64">
        <f>N129/0.507*100</f>
        <v>108.28680561794484</v>
      </c>
      <c r="P129" s="155">
        <f>(O129-100)/100*Q129*0.3389</f>
        <v>219.92568057729304</v>
      </c>
      <c r="Q129" s="54">
        <v>7831</v>
      </c>
      <c r="R129" s="54">
        <f>Q129-Y129-AB129-AC129-AD129</f>
        <v>7244</v>
      </c>
      <c r="S129" s="20" t="s">
        <v>19</v>
      </c>
      <c r="T129" s="19">
        <v>2304</v>
      </c>
      <c r="U129" s="19">
        <v>414</v>
      </c>
      <c r="V129" s="19">
        <v>57</v>
      </c>
      <c r="W129" s="19">
        <v>207</v>
      </c>
      <c r="X129" s="19">
        <v>1085</v>
      </c>
      <c r="Y129" s="54">
        <v>450</v>
      </c>
      <c r="Z129" s="19">
        <v>965</v>
      </c>
      <c r="AA129" s="54">
        <f>T129+U129+V129*2+W129*3</f>
        <v>3453</v>
      </c>
      <c r="AB129" s="19">
        <v>56</v>
      </c>
      <c r="AC129" s="19">
        <v>23</v>
      </c>
      <c r="AD129" s="19">
        <v>58</v>
      </c>
      <c r="AE129" s="9"/>
      <c r="AF129" s="6">
        <v>1894</v>
      </c>
      <c r="AG129" s="77">
        <v>4.2220688597500194E-2</v>
      </c>
      <c r="AH129" s="85">
        <v>0.530472159413931</v>
      </c>
      <c r="AI129" s="86">
        <v>0.48096290776129791</v>
      </c>
      <c r="AJ129" s="76">
        <v>1.993712138639675E-2</v>
      </c>
      <c r="AK129" s="41">
        <v>9.2300000000000004E-3</v>
      </c>
      <c r="AL129" s="42">
        <v>1.7728701786672803E-2</v>
      </c>
      <c r="AM129" s="79">
        <v>7.0000000000000001E-3</v>
      </c>
      <c r="AN129" s="9"/>
      <c r="BB129" s="9"/>
      <c r="BC129" s="150" t="s">
        <v>185</v>
      </c>
      <c r="BD129" s="151">
        <v>0.33376407605685804</v>
      </c>
      <c r="BE129" s="151">
        <v>0.40789069696039298</v>
      </c>
      <c r="BF129" s="151">
        <v>0.27920685959271169</v>
      </c>
      <c r="BG129" s="151">
        <v>0.50506601166717835</v>
      </c>
      <c r="BH129" s="151">
        <v>0.86240542165656153</v>
      </c>
      <c r="BI129" s="151">
        <v>2.1829130598419271E-2</v>
      </c>
      <c r="BJ129" s="151">
        <v>4.7045540082800152E-2</v>
      </c>
      <c r="BK129" s="151">
        <v>4.2677310408351245E-2</v>
      </c>
      <c r="BL129" s="151">
        <v>0.10546515198035002</v>
      </c>
      <c r="BM129" s="151">
        <v>0.54052820698343385</v>
      </c>
      <c r="BN129" s="165">
        <v>106.61305857661416</v>
      </c>
      <c r="BO129" s="168">
        <v>145.98952403217118</v>
      </c>
      <c r="BP129" s="9"/>
    </row>
    <row r="130" spans="1:68" x14ac:dyDescent="0.2">
      <c r="A130" s="9"/>
      <c r="B130" s="3">
        <v>1990</v>
      </c>
      <c r="C130" s="106" t="s">
        <v>113</v>
      </c>
      <c r="D130" s="98">
        <v>0.92600000000000005</v>
      </c>
      <c r="E130" s="99">
        <f>(T130-W130)/(R130-W130-Z130+AD130)</f>
        <v>0.2513201320132013</v>
      </c>
      <c r="F130" s="99">
        <f>AA130/Q130</f>
        <v>0.3068809331761494</v>
      </c>
      <c r="G130" s="99">
        <f>(U130+V130+W130)/T130</f>
        <v>0.26963272618692147</v>
      </c>
      <c r="H130" s="99">
        <f>(AA130+S130)/Q130</f>
        <v>0.39343550288515233</v>
      </c>
      <c r="I130" s="99">
        <f>(AA130/R130)+((T130+Y130+AB130)/(R130+Y130+AB130+AD130))</f>
        <v>0.63382682902818976</v>
      </c>
      <c r="J130" s="99">
        <f>W130/AA130</f>
        <v>6.1261625556004853E-2</v>
      </c>
      <c r="K130" s="99">
        <f>(AC130+AD130)/AA130</f>
        <v>4.3873837444399516E-2</v>
      </c>
      <c r="L130" s="99">
        <f>Z130/Q130</f>
        <v>0.13724638580380963</v>
      </c>
      <c r="M130" s="99">
        <f>(Y130+AB130)/Q130</f>
        <v>8.3700440528634359E-2</v>
      </c>
      <c r="N130" s="100">
        <f>(1-E130*0.7635+1-F130*0.7562+1-G130*0.75+1-H130*0.7248+1-I130*0.7021+1-J130*0.6285+K130*0.5884+L130*0.5276+1-M130*0.3663)/11.068</f>
        <v>0.51253356160307761</v>
      </c>
      <c r="O130" s="101">
        <f>N130/0.5023*100</f>
        <v>102.03734055406682</v>
      </c>
      <c r="P130" s="102">
        <f>(O130-100)/100*Q130*0.6611</f>
        <v>217.077590880115</v>
      </c>
      <c r="Q130" s="54">
        <v>16117</v>
      </c>
      <c r="R130" s="54">
        <f>Q130-Y130-AB130-AC130-AD130</f>
        <v>14551</v>
      </c>
      <c r="S130" s="19">
        <v>1395</v>
      </c>
      <c r="T130" s="19">
        <v>3349</v>
      </c>
      <c r="U130" s="19">
        <v>512</v>
      </c>
      <c r="V130" s="19">
        <v>88</v>
      </c>
      <c r="W130" s="19">
        <v>303</v>
      </c>
      <c r="X130" s="19" t="s">
        <v>19</v>
      </c>
      <c r="Y130" s="54">
        <v>1311</v>
      </c>
      <c r="Z130" s="19">
        <v>2212</v>
      </c>
      <c r="AA130" s="54">
        <f>T130+U130+V130*2+W130*3</f>
        <v>4946</v>
      </c>
      <c r="AB130" s="19">
        <v>38</v>
      </c>
      <c r="AC130" s="19">
        <v>133</v>
      </c>
      <c r="AD130" s="19">
        <v>84</v>
      </c>
      <c r="AE130" s="9"/>
      <c r="AF130" s="6">
        <v>1893</v>
      </c>
      <c r="AG130" s="77">
        <v>3.4500628140703517E-2</v>
      </c>
      <c r="AH130" s="85">
        <v>0.50203524147949985</v>
      </c>
      <c r="AI130" s="86">
        <v>0.49877066690509464</v>
      </c>
      <c r="AJ130" s="76">
        <v>1.6441582914572865E-2</v>
      </c>
      <c r="AK130" s="41">
        <v>1.0030000000000001E-2</v>
      </c>
      <c r="AL130" s="43">
        <v>2.2092562682347876E-2</v>
      </c>
      <c r="AM130" s="79">
        <v>8.6599999999999993E-3</v>
      </c>
      <c r="AN130" s="9"/>
      <c r="BB130" s="9"/>
      <c r="BC130" s="150" t="s">
        <v>180</v>
      </c>
      <c r="BD130" s="151">
        <v>0.29297880161744883</v>
      </c>
      <c r="BE130" s="151">
        <v>0.33083584703707308</v>
      </c>
      <c r="BF130" s="151">
        <v>0.25304136253041365</v>
      </c>
      <c r="BG130" s="151">
        <v>0.41023645032597061</v>
      </c>
      <c r="BH130" s="151">
        <v>0.75593859520465512</v>
      </c>
      <c r="BI130" s="151">
        <v>2.2058823529411766E-2</v>
      </c>
      <c r="BJ130" s="151">
        <v>9.7058823529411767E-2</v>
      </c>
      <c r="BK130" s="151">
        <v>5.6631312639875447E-2</v>
      </c>
      <c r="BL130" s="151">
        <v>0.11793324900262722</v>
      </c>
      <c r="BM130" s="151">
        <v>0.49946719069917933</v>
      </c>
      <c r="BN130" s="165">
        <v>104.05566472899569</v>
      </c>
      <c r="BO130" s="168">
        <v>141.25374509700296</v>
      </c>
      <c r="BP130" s="9"/>
    </row>
    <row r="131" spans="1:68" x14ac:dyDescent="0.2">
      <c r="A131" s="9"/>
      <c r="B131" s="3">
        <v>1991</v>
      </c>
      <c r="C131" s="106" t="s">
        <v>111</v>
      </c>
      <c r="D131" s="98">
        <v>0.77200000000000002</v>
      </c>
      <c r="E131" s="99">
        <f>(T131-W131)/(R131-W131-Z131+AD131)</f>
        <v>0.27819318460406961</v>
      </c>
      <c r="F131" s="99">
        <f>AA131/Q131</f>
        <v>0.32464811187537013</v>
      </c>
      <c r="G131" s="99">
        <f>(U131+V131+W131)/T131</f>
        <v>0.25293641150263263</v>
      </c>
      <c r="H131" s="99">
        <f>(AA131+S131)/Q131</f>
        <v>0.42158247164396667</v>
      </c>
      <c r="I131" s="99">
        <f>(AA131/R131)+((T131+Y131+AB131)/(R131+Y131+AB131+AD131))</f>
        <v>0.64950059989093289</v>
      </c>
      <c r="J131" s="99">
        <f>W131/AA131</f>
        <v>5.5984285112950748E-2</v>
      </c>
      <c r="K131" s="99">
        <f>(AC131+AD131)/AA131</f>
        <v>4.6022169215658763E-2</v>
      </c>
      <c r="L131" s="99">
        <f>Z131/Q131</f>
        <v>0.16098027604427642</v>
      </c>
      <c r="M131" s="99">
        <f>(Y131+AB131)/Q131</f>
        <v>6.7735616999954451E-2</v>
      </c>
      <c r="N131" s="100">
        <f>(1-E131*0.7635+1-F131*0.7562+1-G131*0.75+1-H131*0.7248+1-I131*0.7021+1-J131*0.6285+K131*0.5884+L131*0.5276+1-M131*0.3663)/11.068</f>
        <v>0.50983338492984942</v>
      </c>
      <c r="O131" s="101">
        <f>N131/0.5025*100</f>
        <v>101.45938008554218</v>
      </c>
      <c r="P131" s="102">
        <f>(O131-100)/100*Q131*0.6611</f>
        <v>211.80170419938619</v>
      </c>
      <c r="Q131" s="54">
        <v>21953</v>
      </c>
      <c r="R131" s="54">
        <f>Q131-Y131-AB131-AC131-AD131</f>
        <v>20138</v>
      </c>
      <c r="S131" s="19">
        <v>2128</v>
      </c>
      <c r="T131" s="19">
        <v>4938</v>
      </c>
      <c r="U131" s="19">
        <v>708</v>
      </c>
      <c r="V131" s="19">
        <v>142</v>
      </c>
      <c r="W131" s="19">
        <v>399</v>
      </c>
      <c r="X131" s="19" t="s">
        <v>19</v>
      </c>
      <c r="Y131" s="54">
        <v>1379</v>
      </c>
      <c r="Z131" s="19">
        <v>3534</v>
      </c>
      <c r="AA131" s="54">
        <f>T131+U131+V131*2+W131*3</f>
        <v>7127</v>
      </c>
      <c r="AB131" s="19">
        <v>108</v>
      </c>
      <c r="AC131" s="19">
        <v>217</v>
      </c>
      <c r="AD131" s="19">
        <v>111</v>
      </c>
      <c r="AE131" s="9"/>
      <c r="AF131" s="6">
        <v>1892</v>
      </c>
      <c r="AG131" s="77">
        <v>2.8421723429866177E-2</v>
      </c>
      <c r="AH131" s="85">
        <v>0.47248294307131283</v>
      </c>
      <c r="AI131" s="86">
        <v>0.51727689931087206</v>
      </c>
      <c r="AJ131" s="76">
        <v>1.4302910146569425E-2</v>
      </c>
      <c r="AK131" s="41">
        <v>7.9399999999999991E-3</v>
      </c>
      <c r="AL131" s="43">
        <v>2.2090039186000575E-2</v>
      </c>
      <c r="AM131" s="79">
        <v>7.2899999999999996E-3</v>
      </c>
      <c r="AN131" s="9"/>
      <c r="BB131" s="9"/>
      <c r="BC131" s="150" t="s">
        <v>176</v>
      </c>
      <c r="BD131" s="151">
        <v>0.34508216241962369</v>
      </c>
      <c r="BE131" s="151">
        <v>0.38204984073449505</v>
      </c>
      <c r="BF131" s="151">
        <v>0.24882629107981222</v>
      </c>
      <c r="BG131" s="151">
        <v>0.492973580663294</v>
      </c>
      <c r="BH131" s="151">
        <v>0.84275398594675255</v>
      </c>
      <c r="BI131" s="151">
        <v>2.0598332515939184E-2</v>
      </c>
      <c r="BJ131" s="151">
        <v>7.9941147621383032E-2</v>
      </c>
      <c r="BK131" s="151">
        <v>7.3074761101742547E-2</v>
      </c>
      <c r="BL131" s="151">
        <v>0.10998688401723815</v>
      </c>
      <c r="BM131" s="151">
        <v>0.52743377522186108</v>
      </c>
      <c r="BN131" s="165">
        <v>107.55174861783463</v>
      </c>
      <c r="BO131" s="168">
        <v>136.58917956339644</v>
      </c>
      <c r="BP131" s="9"/>
    </row>
    <row r="132" spans="1:68" x14ac:dyDescent="0.2">
      <c r="A132" s="9"/>
      <c r="B132" s="3">
        <v>2004</v>
      </c>
      <c r="C132" s="51" t="s">
        <v>74</v>
      </c>
      <c r="D132" s="26">
        <v>0.85199999999999998</v>
      </c>
      <c r="E132" s="71">
        <f>(T132-W132)/(R132-W132-Z132+AD132)</f>
        <v>0.32566240895175763</v>
      </c>
      <c r="F132" s="71">
        <f>AA132/Q132</f>
        <v>0.39894797402810883</v>
      </c>
      <c r="G132" s="71">
        <f>(U132+V132+W132)/T132</f>
        <v>0.28713467912021695</v>
      </c>
      <c r="H132" s="71">
        <f>(AA132+X132)/Q132</f>
        <v>0.50636968850168484</v>
      </c>
      <c r="I132" s="71">
        <f>(AA132/R132)+((T132+Y132+AB132)/(R132+Y132+AB132+AD132))</f>
        <v>0.81654227751415498</v>
      </c>
      <c r="J132" s="71">
        <f>W132/AA132</f>
        <v>4.8207663782447466E-2</v>
      </c>
      <c r="K132" s="71">
        <f>(AC132+AD132)/AA132</f>
        <v>3.7906880922950144E-2</v>
      </c>
      <c r="L132" s="71">
        <f>Z132/Q132</f>
        <v>0.10224377414317416</v>
      </c>
      <c r="M132" s="71">
        <f>(Y132+AB132)/Q132</f>
        <v>9.3778252650612307E-2</v>
      </c>
      <c r="N132" s="57">
        <f>(E132*0.7635+F132*0.7562+G132*0.75+H132*0.7248+I132*0.7021+J132*0.6285+1-K132*0.5884+1-L132*0.5276+M132*0.3663)/6.931</f>
        <v>0.53302424851591113</v>
      </c>
      <c r="O132" s="64">
        <f>N132/0.5075*100</f>
        <v>105.02940857456377</v>
      </c>
      <c r="P132" s="155">
        <f>(O132-100)/100*Q132*0.3389</f>
        <v>207.38244707544538</v>
      </c>
      <c r="Q132" s="54">
        <v>12167</v>
      </c>
      <c r="R132" s="54">
        <f>Q132-Y132-AB132-AC132-AD132</f>
        <v>10842</v>
      </c>
      <c r="S132" s="20" t="s">
        <v>19</v>
      </c>
      <c r="T132" s="19">
        <v>3319</v>
      </c>
      <c r="U132" s="19">
        <v>605</v>
      </c>
      <c r="V132" s="19">
        <v>114</v>
      </c>
      <c r="W132" s="19">
        <v>234</v>
      </c>
      <c r="X132" s="19">
        <v>1307</v>
      </c>
      <c r="Y132" s="54">
        <v>1094</v>
      </c>
      <c r="Z132" s="19">
        <v>1244</v>
      </c>
      <c r="AA132" s="54">
        <f>T132+U132+V132*2+W132*3</f>
        <v>4854</v>
      </c>
      <c r="AB132" s="19">
        <v>47</v>
      </c>
      <c r="AC132" s="19">
        <v>75</v>
      </c>
      <c r="AD132" s="19">
        <v>109</v>
      </c>
      <c r="AE132" s="9"/>
      <c r="AF132" s="6">
        <v>1891</v>
      </c>
      <c r="AG132" s="77">
        <v>3.035302261190586E-2</v>
      </c>
      <c r="AH132" s="85">
        <v>0.48161792508775197</v>
      </c>
      <c r="AI132" s="86">
        <v>0.51155639331557545</v>
      </c>
      <c r="AJ132" s="76">
        <v>1.4640055376095985E-2</v>
      </c>
      <c r="AK132" s="41">
        <v>1.136E-2</v>
      </c>
      <c r="AL132" s="43">
        <v>2.1065539318184844E-2</v>
      </c>
      <c r="AM132" s="79">
        <v>8.2000000000000007E-3</v>
      </c>
      <c r="AN132" s="9"/>
      <c r="BB132" s="9"/>
      <c r="BC132" s="150" t="s">
        <v>242</v>
      </c>
      <c r="BD132" s="151">
        <v>0.31420696567276374</v>
      </c>
      <c r="BE132" s="151">
        <v>0.32950340798442063</v>
      </c>
      <c r="BF132" s="151">
        <v>0.23469387755102042</v>
      </c>
      <c r="BG132" s="151">
        <v>0.44556962025316454</v>
      </c>
      <c r="BH132" s="151">
        <v>0.78592629504253708</v>
      </c>
      <c r="BI132" s="151">
        <v>1.1820330969267139E-2</v>
      </c>
      <c r="BJ132" s="151">
        <v>8.9834515366430265E-2</v>
      </c>
      <c r="BK132" s="151">
        <v>6.2317429406037003E-2</v>
      </c>
      <c r="BL132" s="151">
        <v>0.13495618305744889</v>
      </c>
      <c r="BM132" s="151">
        <v>0.50655920348477756</v>
      </c>
      <c r="BN132" s="165">
        <v>107.45846488858244</v>
      </c>
      <c r="BO132" s="168">
        <v>129.79604710052922</v>
      </c>
      <c r="BP132" s="9"/>
    </row>
    <row r="133" spans="1:68" x14ac:dyDescent="0.2">
      <c r="A133" s="9"/>
      <c r="B133" s="3">
        <v>1962</v>
      </c>
      <c r="C133" s="51" t="s">
        <v>209</v>
      </c>
      <c r="D133" s="26" t="s">
        <v>19</v>
      </c>
      <c r="E133" s="71">
        <f>(T133-W133)/(R133-W133-Z133+AD133)</f>
        <v>0.32802728823194999</v>
      </c>
      <c r="F133" s="71">
        <f>AA133/Q133</f>
        <v>0.4024764006374893</v>
      </c>
      <c r="G133" s="71">
        <f>(U133+V133+W133)/T133</f>
        <v>0.24789562289562289</v>
      </c>
      <c r="H133" s="71">
        <f>(AA133+X133)/Q133</f>
        <v>0.52274120387397327</v>
      </c>
      <c r="I133" s="71">
        <f>(AA133/R133)+((T133+Y133+AB133)/(R133+Y133+AB133+AD133))</f>
        <v>0.81841353530765137</v>
      </c>
      <c r="J133" s="71">
        <f>W133/AA133</f>
        <v>2.071276271702711E-2</v>
      </c>
      <c r="K133" s="71">
        <f>(AC133+AD133)/AA133</f>
        <v>9.7471824550715805E-2</v>
      </c>
      <c r="L133" s="71">
        <f>Z133/Q133</f>
        <v>3.1874463650852031E-2</v>
      </c>
      <c r="M133" s="71">
        <f>(Y133+AB133)/Q133</f>
        <v>6.5833026848105922E-2</v>
      </c>
      <c r="N133" s="57">
        <f>(E133*0.7635+F133*0.7562+G133*0.75+H133*0.7248+I133*0.7021+J133*0.6285+1-K133*0.5884+1-L133*0.5276+M133*0.3663)/6.931</f>
        <v>0.52765508499791092</v>
      </c>
      <c r="O133" s="64">
        <f>N133/0.4911*100</f>
        <v>107.4435115043598</v>
      </c>
      <c r="P133" s="155">
        <f>(O133-100)/100*Q133*0.3389</f>
        <v>205.76897540286228</v>
      </c>
      <c r="Q133" s="54">
        <v>8157</v>
      </c>
      <c r="R133" s="21">
        <f>Q133-Y133-AB133-AC133-AD133</f>
        <v>7300</v>
      </c>
      <c r="S133" s="20" t="s">
        <v>19</v>
      </c>
      <c r="T133" s="19">
        <v>2376</v>
      </c>
      <c r="U133" s="19">
        <v>339</v>
      </c>
      <c r="V133" s="19">
        <v>182</v>
      </c>
      <c r="W133" s="19">
        <v>68</v>
      </c>
      <c r="X133" s="19">
        <v>981</v>
      </c>
      <c r="Y133" s="54">
        <v>484</v>
      </c>
      <c r="Z133" s="19">
        <v>260</v>
      </c>
      <c r="AA133" s="54">
        <f>T133+U133+V133*2+W133*3</f>
        <v>3283</v>
      </c>
      <c r="AB133" s="19">
        <v>53</v>
      </c>
      <c r="AC133" s="19">
        <v>256</v>
      </c>
      <c r="AD133" s="21">
        <v>64</v>
      </c>
      <c r="AE133" s="9"/>
      <c r="AF133" s="6">
        <v>1890</v>
      </c>
      <c r="AG133" s="77">
        <v>3.3330694323489826E-2</v>
      </c>
      <c r="AH133" s="85">
        <v>0.48801745581860267</v>
      </c>
      <c r="AI133" s="86">
        <v>0.50754888089277794</v>
      </c>
      <c r="AJ133" s="76">
        <v>1.5002770960335683E-2</v>
      </c>
      <c r="AK133" s="41">
        <v>1.064E-2</v>
      </c>
      <c r="AL133" s="43">
        <v>2.0591321178768537E-2</v>
      </c>
      <c r="AM133" s="79">
        <v>7.3099999999999997E-3</v>
      </c>
      <c r="AN133" s="9"/>
      <c r="BB133" s="9"/>
      <c r="BC133" s="150" t="s">
        <v>125</v>
      </c>
      <c r="BD133" s="151">
        <v>0.33795860771401692</v>
      </c>
      <c r="BE133" s="151">
        <v>0.37704626334519575</v>
      </c>
      <c r="BF133" s="151">
        <v>0.25669864373139267</v>
      </c>
      <c r="BG133" s="151">
        <v>0.45711743772241992</v>
      </c>
      <c r="BH133" s="151">
        <v>0.75242972593715951</v>
      </c>
      <c r="BI133" s="151">
        <v>3.5158093440302032E-2</v>
      </c>
      <c r="BJ133" s="151">
        <v>2.19443133553563E-2</v>
      </c>
      <c r="BK133" s="151">
        <v>0.15391459074733096</v>
      </c>
      <c r="BL133" s="151">
        <v>7.2064056939501783E-2</v>
      </c>
      <c r="BM133" s="151">
        <v>0.51214167469327787</v>
      </c>
      <c r="BN133" s="165">
        <v>103.31685993408874</v>
      </c>
      <c r="BO133" s="168">
        <v>126.34702267888453</v>
      </c>
      <c r="BP133" s="9"/>
    </row>
    <row r="134" spans="1:68" x14ac:dyDescent="0.2">
      <c r="A134" s="9"/>
      <c r="B134" s="3">
        <v>1986</v>
      </c>
      <c r="C134" s="51" t="s">
        <v>123</v>
      </c>
      <c r="D134" s="26" t="s">
        <v>19</v>
      </c>
      <c r="E134" s="71">
        <f>(T134-W134)/(R134-W134-Z134+AD134)</f>
        <v>0.29628259663399298</v>
      </c>
      <c r="F134" s="71">
        <f>AA134/Q134</f>
        <v>0.423894223201637</v>
      </c>
      <c r="G134" s="71">
        <f>(U134+V134+W134)/T134</f>
        <v>0.27566964285714285</v>
      </c>
      <c r="H134" s="71">
        <f>(AA134+X134)/Q134</f>
        <v>0.57972611364709581</v>
      </c>
      <c r="I134" s="71">
        <f>(AA134/R134)+((T134+Y134+AB134)/(R134+Y134+AB134+AD134))</f>
        <v>0.82152223733133001</v>
      </c>
      <c r="J134" s="71">
        <f>W134/AA134</f>
        <v>7.0553286297809131E-2</v>
      </c>
      <c r="K134" s="71">
        <f>(AC134+AD134)/AA134</f>
        <v>2.4879316747122168E-2</v>
      </c>
      <c r="L134" s="71">
        <f>Z134/Q134</f>
        <v>4.1240358885565875E-2</v>
      </c>
      <c r="M134" s="71">
        <f>(Y134+AB134)/Q134</f>
        <v>7.4925232173776168E-2</v>
      </c>
      <c r="N134" s="57">
        <f>(E134*0.7635+F134*0.7562+G134*0.75+H134*0.7248+I134*0.7021+J134*0.6285+1-K134*0.5884+1-L134*0.5276+M134*0.3663)/6.931</f>
        <v>0.5462241387853306</v>
      </c>
      <c r="O134" s="64">
        <f>N134/0.4999*100</f>
        <v>109.26668109328477</v>
      </c>
      <c r="P134" s="155">
        <f>(O134-100)/100*Q134*0.3389</f>
        <v>199.51458147632772</v>
      </c>
      <c r="Q134" s="54">
        <v>6353</v>
      </c>
      <c r="R134" s="21">
        <f>Q134-Y134-AB134-AC134-AD134</f>
        <v>5810</v>
      </c>
      <c r="S134" s="20" t="s">
        <v>19</v>
      </c>
      <c r="T134" s="19">
        <v>1792</v>
      </c>
      <c r="U134" s="19">
        <v>277</v>
      </c>
      <c r="V134" s="19">
        <v>27</v>
      </c>
      <c r="W134" s="19">
        <v>190</v>
      </c>
      <c r="X134" s="19">
        <v>990</v>
      </c>
      <c r="Y134" s="54">
        <v>430</v>
      </c>
      <c r="Z134" s="19">
        <v>262</v>
      </c>
      <c r="AA134" s="54">
        <f>T134+U134+V134*2+W134*3</f>
        <v>2693</v>
      </c>
      <c r="AB134" s="19">
        <v>46</v>
      </c>
      <c r="AC134" s="19">
        <v>18</v>
      </c>
      <c r="AD134" s="21">
        <v>49</v>
      </c>
      <c r="AE134" s="9"/>
      <c r="AF134" s="6">
        <v>1889</v>
      </c>
      <c r="AG134" s="77">
        <v>3.5658107932302813E-2</v>
      </c>
      <c r="AH134" s="85">
        <v>0.48996736033046517</v>
      </c>
      <c r="AI134" s="86">
        <v>0.50632781221083722</v>
      </c>
      <c r="AJ134" s="76">
        <v>1.2808534292100812E-2</v>
      </c>
      <c r="AK134" s="41">
        <v>8.9800000000000001E-3</v>
      </c>
      <c r="AL134" s="43">
        <v>1.9973357894001755E-2</v>
      </c>
      <c r="AM134" s="79">
        <v>7.8700000000000003E-3</v>
      </c>
      <c r="AN134" s="9"/>
      <c r="BB134" s="9"/>
      <c r="BC134" s="150" t="s">
        <v>61</v>
      </c>
      <c r="BD134" s="151">
        <v>0.36446469248291574</v>
      </c>
      <c r="BE134" s="151">
        <v>0.53159173754556499</v>
      </c>
      <c r="BF134" s="151">
        <v>0.38752362948960301</v>
      </c>
      <c r="BG134" s="151">
        <v>0.74665856622114213</v>
      </c>
      <c r="BH134" s="151">
        <v>0.99070798576666397</v>
      </c>
      <c r="BI134" s="151">
        <v>5.6000000000000001E-2</v>
      </c>
      <c r="BJ134" s="151">
        <v>4.5714285714285714E-2</v>
      </c>
      <c r="BK134" s="151">
        <v>8.0194410692588092E-2</v>
      </c>
      <c r="BL134" s="151">
        <v>7.3511543134872417E-2</v>
      </c>
      <c r="BM134" s="151">
        <v>0.60605537639854734</v>
      </c>
      <c r="BN134" s="165">
        <v>122.09012417376056</v>
      </c>
      <c r="BO134" s="168">
        <v>123.22520713774347</v>
      </c>
      <c r="BP134" s="9"/>
    </row>
    <row r="135" spans="1:68" x14ac:dyDescent="0.2">
      <c r="A135" s="9"/>
      <c r="B135" s="3">
        <v>1968</v>
      </c>
      <c r="C135" s="51" t="s">
        <v>192</v>
      </c>
      <c r="D135" s="26" t="s">
        <v>19</v>
      </c>
      <c r="E135" s="71">
        <f>(T135-W135)/(R135-W135-Z135+AD135)</f>
        <v>0.34553557217889541</v>
      </c>
      <c r="F135" s="71">
        <f>AA135/Q135</f>
        <v>0.418641975308642</v>
      </c>
      <c r="G135" s="71">
        <f>(U135+V135+W135)/T135</f>
        <v>0.29534580252283604</v>
      </c>
      <c r="H135" s="71">
        <f>(AA135+X135)/Q135</f>
        <v>0.55012345679012342</v>
      </c>
      <c r="I135" s="71">
        <f>(AA135/R135)+((T135+Y135+AB135)/(R135+Y135+AB135+AD135))</f>
        <v>0.8637742355191218</v>
      </c>
      <c r="J135" s="71">
        <f>W135/AA135</f>
        <v>3.7746977292833973E-2</v>
      </c>
      <c r="K135" s="71">
        <f>(AC135+AD135)/AA135</f>
        <v>7.0480684163963428E-2</v>
      </c>
      <c r="L135" s="71">
        <f>Z135/Q135</f>
        <v>9.2839506172839509E-2</v>
      </c>
      <c r="M135" s="71">
        <f>(Y135+AB135)/Q135</f>
        <v>9.3950617283950613E-2</v>
      </c>
      <c r="N135" s="57">
        <f>(E135*0.7635+F135*0.7562+G135*0.75+H135*0.7248+I135*0.7021+J135*0.6285+1-K135*0.5884+1-L135*0.5276+M135*0.3663)/6.931</f>
        <v>0.54462174629048565</v>
      </c>
      <c r="O135" s="64">
        <f>N135/0.5078*100</f>
        <v>107.25123006902039</v>
      </c>
      <c r="P135" s="155">
        <f>(O135-100)/100*Q135*0.3389</f>
        <v>199.05279150167192</v>
      </c>
      <c r="Q135" s="54">
        <v>8100</v>
      </c>
      <c r="R135" s="21">
        <f>Q135-Y135-AB135-AC135-AD135</f>
        <v>7100</v>
      </c>
      <c r="S135" s="20" t="s">
        <v>19</v>
      </c>
      <c r="T135" s="19">
        <v>2299</v>
      </c>
      <c r="U135" s="19">
        <v>394</v>
      </c>
      <c r="V135" s="19">
        <v>157</v>
      </c>
      <c r="W135" s="19">
        <v>128</v>
      </c>
      <c r="X135" s="19">
        <v>1065</v>
      </c>
      <c r="Y135" s="54">
        <v>676</v>
      </c>
      <c r="Z135" s="19">
        <v>752</v>
      </c>
      <c r="AA135" s="54">
        <f>T135+U135+V135*2+W135*3</f>
        <v>3391</v>
      </c>
      <c r="AB135" s="19">
        <v>85</v>
      </c>
      <c r="AC135" s="19">
        <v>176</v>
      </c>
      <c r="AD135" s="21">
        <v>63</v>
      </c>
      <c r="AE135" s="9"/>
      <c r="AF135" s="6">
        <v>1888</v>
      </c>
      <c r="AG135" s="77">
        <v>3.0262995431534757E-2</v>
      </c>
      <c r="AH135" s="85">
        <v>0.46676750095076763</v>
      </c>
      <c r="AI135" s="86">
        <v>0.52085602194707536</v>
      </c>
      <c r="AJ135" s="76">
        <v>1.3013952339795036E-2</v>
      </c>
      <c r="AK135" s="41">
        <v>1.017E-2</v>
      </c>
      <c r="AL135" s="43">
        <v>2.1255781315393733E-2</v>
      </c>
      <c r="AM135" s="79">
        <v>7.2399999999999999E-3</v>
      </c>
      <c r="AN135" s="9"/>
      <c r="BB135" s="9"/>
      <c r="BC135" s="150" t="s">
        <v>70</v>
      </c>
      <c r="BD135" s="151">
        <v>0.35772357723577236</v>
      </c>
      <c r="BE135" s="151">
        <v>0.44200982244049869</v>
      </c>
      <c r="BF135" s="151">
        <v>0.32674571805006586</v>
      </c>
      <c r="BG135" s="151">
        <v>0.64223649414431427</v>
      </c>
      <c r="BH135" s="151">
        <v>0.95591843428131718</v>
      </c>
      <c r="BI135" s="151">
        <v>4.7008547008547008E-2</v>
      </c>
      <c r="BJ135" s="151">
        <v>7.6923076923076927E-2</v>
      </c>
      <c r="BK135" s="151">
        <v>8.0090668681526256E-2</v>
      </c>
      <c r="BL135" s="151">
        <v>0.12958065734794105</v>
      </c>
      <c r="BM135" s="151">
        <v>0.57402471540539446</v>
      </c>
      <c r="BN135" s="165">
        <v>113.73582631372983</v>
      </c>
      <c r="BO135" s="168">
        <v>123.21974360352887</v>
      </c>
      <c r="BP135" s="9"/>
    </row>
    <row r="136" spans="1:68" x14ac:dyDescent="0.2">
      <c r="A136" s="9"/>
      <c r="B136" s="3">
        <v>1945</v>
      </c>
      <c r="C136" s="51" t="s">
        <v>254</v>
      </c>
      <c r="D136" s="26" t="s">
        <v>19</v>
      </c>
      <c r="E136" s="71">
        <f>(T136-W136)/(R136-W136-Z136+AD136)</f>
        <v>0.29993796526054589</v>
      </c>
      <c r="F136" s="71">
        <f>AA136/Q136</f>
        <v>0.37238605898123323</v>
      </c>
      <c r="G136" s="71">
        <f>(U136+V136+W136)/T136</f>
        <v>0.26663331665832918</v>
      </c>
      <c r="H136" s="71">
        <f>(AA136+X136)/Q136</f>
        <v>0.50415549597855225</v>
      </c>
      <c r="I136" s="71">
        <f>(AA136/R136)+((T136+Y136+AB136)/(R136+Y136+AB136+AD136))</f>
        <v>0.75779480371133179</v>
      </c>
      <c r="J136" s="71">
        <f>W136/AA136</f>
        <v>2.339812814974802E-2</v>
      </c>
      <c r="K136" s="71">
        <f>(AC136+AD136)/AA136</f>
        <v>8.3873290136789055E-2</v>
      </c>
      <c r="L136" s="71">
        <f>Z136/Q136</f>
        <v>3.5656836461126003E-2</v>
      </c>
      <c r="M136" s="71">
        <f>(Y136+AB136)/Q136</f>
        <v>6.8364611260053623E-2</v>
      </c>
      <c r="N136" s="57">
        <f>(E136*0.7635+F136*0.7562+G136*0.75+H136*0.7248+I136*0.7021+J136*0.6285+1-K136*0.5884+1-L136*0.5276+M136*0.3663)/6.931</f>
        <v>0.51646511134844331</v>
      </c>
      <c r="O136" s="64">
        <f>N136/0.479*100</f>
        <v>107.82152637754558</v>
      </c>
      <c r="P136" s="155">
        <f>(O136-100)/100*Q136*0.3389</f>
        <v>197.7433605855247</v>
      </c>
      <c r="Q136" s="54">
        <v>7460</v>
      </c>
      <c r="R136" s="21">
        <f>Q136-Y136-AB136-AC136-AD136</f>
        <v>6717</v>
      </c>
      <c r="S136" s="19" t="s">
        <v>19</v>
      </c>
      <c r="T136" s="19">
        <v>1999</v>
      </c>
      <c r="U136" s="19">
        <v>352</v>
      </c>
      <c r="V136" s="19">
        <v>116</v>
      </c>
      <c r="W136" s="19">
        <v>65</v>
      </c>
      <c r="X136" s="19">
        <v>983</v>
      </c>
      <c r="Y136" s="54">
        <v>426</v>
      </c>
      <c r="Z136" s="19">
        <v>266</v>
      </c>
      <c r="AA136" s="54">
        <f>T136+U136+V136*2+W136*3</f>
        <v>2778</v>
      </c>
      <c r="AB136" s="19">
        <v>84</v>
      </c>
      <c r="AC136" s="21">
        <v>171</v>
      </c>
      <c r="AD136" s="21">
        <v>62</v>
      </c>
      <c r="AE136" s="9"/>
      <c r="AF136" s="6">
        <v>1887</v>
      </c>
      <c r="AG136" s="77">
        <v>3.7873770451590745E-2</v>
      </c>
      <c r="AH136" s="85">
        <v>0.49862550634151254</v>
      </c>
      <c r="AI136" s="86">
        <v>0.50090591033131338</v>
      </c>
      <c r="AJ136" s="76">
        <v>1.7146221208330266E-2</v>
      </c>
      <c r="AK136" s="41">
        <v>9.1500000000000001E-3</v>
      </c>
      <c r="AL136" s="43">
        <v>2.0568193545903436E-2</v>
      </c>
      <c r="AM136" s="79">
        <v>8.1799999999999998E-3</v>
      </c>
      <c r="AN136" s="9"/>
      <c r="BB136" s="9"/>
      <c r="BC136" s="150" t="s">
        <v>236</v>
      </c>
      <c r="BD136" s="151">
        <v>0.32623132263420035</v>
      </c>
      <c r="BE136" s="151">
        <v>0.39636056881176185</v>
      </c>
      <c r="BF136" s="151">
        <v>0.24544701986754966</v>
      </c>
      <c r="BG136" s="151">
        <v>0.54977102916365395</v>
      </c>
      <c r="BH136" s="151">
        <v>0.8004363641196538</v>
      </c>
      <c r="BI136" s="151">
        <v>1.7634539373669808E-2</v>
      </c>
      <c r="BJ136" s="151">
        <v>8.9996959562176959E-2</v>
      </c>
      <c r="BK136" s="151">
        <v>3.3502048686430468E-2</v>
      </c>
      <c r="BL136" s="151">
        <v>6.061701614846951E-2</v>
      </c>
      <c r="BM136" s="151">
        <v>0.52748644988771376</v>
      </c>
      <c r="BN136" s="165">
        <v>104.32880733538641</v>
      </c>
      <c r="BO136" s="168">
        <v>121.73438223876461</v>
      </c>
      <c r="BP136" s="9"/>
    </row>
    <row r="137" spans="1:68" x14ac:dyDescent="0.2">
      <c r="A137" s="9"/>
      <c r="B137" s="3">
        <v>1964</v>
      </c>
      <c r="C137" s="106" t="s">
        <v>198</v>
      </c>
      <c r="D137" s="98" t="s">
        <v>19</v>
      </c>
      <c r="E137" s="99">
        <f>(T137-W137)/(R137-W137-Z137+AD137)</f>
        <v>0.2896186747861389</v>
      </c>
      <c r="F137" s="99">
        <f>AA137/Q137</f>
        <v>0.3108044901777362</v>
      </c>
      <c r="G137" s="130">
        <f>(U137+V137+W137)/T137</f>
        <v>0.20336093521675597</v>
      </c>
      <c r="H137" s="99">
        <f>(AA137+S137)/Q137</f>
        <v>0.41680308699719365</v>
      </c>
      <c r="I137" s="99">
        <f>(AA137/R137)+((T137+Y137+AB137)/(R137+Y137+AB137+AD137))</f>
        <v>0.67364516171639588</v>
      </c>
      <c r="J137" s="99">
        <f>W137/AA137</f>
        <v>2.08803611738149E-2</v>
      </c>
      <c r="K137" s="99">
        <f>(AC137+AD137)/AA137</f>
        <v>0.10308502633559068</v>
      </c>
      <c r="L137" s="99">
        <f>Z137/Q137</f>
        <v>8.6003274087932652E-2</v>
      </c>
      <c r="M137" s="99">
        <f>(Y137+AB137)/Q137</f>
        <v>7.694106641721235E-2</v>
      </c>
      <c r="N137" s="100">
        <f>(1-E137*0.7635+1-F137*0.7562+1-G137*0.75+1-H137*0.7248+1-I137*0.7021+1-J137*0.6285+K137*0.5884+L137*0.5276+1-M137*0.3663)/11.068</f>
        <v>0.5132800575259715</v>
      </c>
      <c r="O137" s="101">
        <f>N137/0.5045*100</f>
        <v>101.74034836986552</v>
      </c>
      <c r="P137" s="102">
        <f>(O137-100)/100*Q137*0.6611</f>
        <v>196.78909832368649</v>
      </c>
      <c r="Q137" s="54">
        <v>17104</v>
      </c>
      <c r="R137" s="21">
        <f>Q137-Y137-AB137-AC137-AD137</f>
        <v>15240</v>
      </c>
      <c r="S137" s="19">
        <v>1813</v>
      </c>
      <c r="T137" s="19">
        <v>4106</v>
      </c>
      <c r="U137" s="21">
        <v>571</v>
      </c>
      <c r="V137" s="21">
        <v>153</v>
      </c>
      <c r="W137" s="19">
        <v>111</v>
      </c>
      <c r="X137" s="20" t="s">
        <v>19</v>
      </c>
      <c r="Y137" s="54">
        <v>1213</v>
      </c>
      <c r="Z137" s="19">
        <v>1471</v>
      </c>
      <c r="AA137" s="21">
        <f>T137+U137+V137*2+W137*3</f>
        <v>5316</v>
      </c>
      <c r="AB137" s="19">
        <v>103</v>
      </c>
      <c r="AC137" s="21">
        <v>412</v>
      </c>
      <c r="AD137" s="21">
        <v>136</v>
      </c>
      <c r="AE137" s="9"/>
      <c r="AF137" s="6">
        <v>1886</v>
      </c>
      <c r="AG137" s="77">
        <v>3.4001776875237977E-2</v>
      </c>
      <c r="AH137" s="85">
        <v>0.47668281808603397</v>
      </c>
      <c r="AI137" s="86">
        <v>0.51464685470235794</v>
      </c>
      <c r="AJ137" s="76">
        <v>1.4659220713288488E-2</v>
      </c>
      <c r="AK137" s="41">
        <v>3.9199999999999999E-3</v>
      </c>
      <c r="AL137" s="43">
        <v>1.8237844254683146E-2</v>
      </c>
      <c r="AM137" s="79">
        <v>8.6999999999999994E-3</v>
      </c>
      <c r="AN137" s="9"/>
      <c r="BB137" s="9"/>
      <c r="BC137" s="150" t="s">
        <v>133</v>
      </c>
      <c r="BD137" s="151">
        <v>0.27129337539432175</v>
      </c>
      <c r="BE137" s="151">
        <v>0.3624172466474283</v>
      </c>
      <c r="BF137" s="151">
        <v>0.2872191011235955</v>
      </c>
      <c r="BG137" s="151">
        <v>0.47759293838058053</v>
      </c>
      <c r="BH137" s="151">
        <v>0.72276429449938417</v>
      </c>
      <c r="BI137" s="151">
        <v>6.2763466042154561E-2</v>
      </c>
      <c r="BJ137" s="151">
        <v>5.0351288056206089E-2</v>
      </c>
      <c r="BK137" s="151">
        <v>8.4026481072822956E-2</v>
      </c>
      <c r="BL137" s="151">
        <v>7.7491088100492281E-2</v>
      </c>
      <c r="BM137" s="151">
        <v>0.51133915271241104</v>
      </c>
      <c r="BN137" s="165">
        <v>102.7610837444556</v>
      </c>
      <c r="BO137" s="168">
        <v>110.24785952694921</v>
      </c>
      <c r="BP137" s="9"/>
    </row>
    <row r="138" spans="1:68" x14ac:dyDescent="0.2">
      <c r="A138" s="9"/>
      <c r="B138" s="3">
        <v>1973</v>
      </c>
      <c r="C138" s="51" t="s">
        <v>169</v>
      </c>
      <c r="D138" s="26" t="s">
        <v>19</v>
      </c>
      <c r="E138" s="71">
        <f>(T138-W138)/(R138-W138-Z138+AD138)</f>
        <v>0.31613653995345231</v>
      </c>
      <c r="F138" s="71">
        <f>AA138/Q138</f>
        <v>0.41263318112633179</v>
      </c>
      <c r="G138" s="71">
        <f>(U138+V138+W138)/T138</f>
        <v>0.31552305961754779</v>
      </c>
      <c r="H138" s="71">
        <f>(AA138+X138)/Q138</f>
        <v>0.56788432267884326</v>
      </c>
      <c r="I138" s="71">
        <f>(AA138/R138)+((T138+Y138+AB138)/(R138+Y138+AB138+AD138))</f>
        <v>0.7977957785593317</v>
      </c>
      <c r="J138" s="71">
        <f>W138/AA138</f>
        <v>5.4592401327923278E-2</v>
      </c>
      <c r="K138" s="71">
        <f>(AC138+AD138)/AA138</f>
        <v>7.7462191073404643E-2</v>
      </c>
      <c r="L138" s="71">
        <f>Z138/Q138</f>
        <v>0.10563165905631659</v>
      </c>
      <c r="M138" s="71">
        <f>(Y138+AB138)/Q138</f>
        <v>6.3013698630136991E-2</v>
      </c>
      <c r="N138" s="57">
        <f>(E138*0.7635+F138*0.7562+G138*0.75+H138*0.7248+I138*0.7021+J138*0.6285+1-K138*0.5884+1-L138*0.5276+M138*0.3663)/6.931</f>
        <v>0.53641090076996123</v>
      </c>
      <c r="O138" s="64">
        <f>N138/0.4939*100</f>
        <v>108.6071878457099</v>
      </c>
      <c r="P138" s="155">
        <f>(O138-100)/100*Q138*0.3389</f>
        <v>191.64532063185831</v>
      </c>
      <c r="Q138" s="54">
        <v>6570</v>
      </c>
      <c r="R138" s="21">
        <f>Q138-Y138-AB138-AC138-AD138</f>
        <v>5946</v>
      </c>
      <c r="S138" s="20" t="s">
        <v>19</v>
      </c>
      <c r="T138" s="19">
        <v>1778</v>
      </c>
      <c r="U138" s="19">
        <v>337</v>
      </c>
      <c r="V138" s="19">
        <v>76</v>
      </c>
      <c r="W138" s="19">
        <v>148</v>
      </c>
      <c r="X138" s="19">
        <v>1020</v>
      </c>
      <c r="Y138" s="54">
        <v>386</v>
      </c>
      <c r="Z138" s="19">
        <v>694</v>
      </c>
      <c r="AA138" s="54">
        <f>T138+U138+V138*2+W138*3</f>
        <v>2711</v>
      </c>
      <c r="AB138" s="19">
        <v>28</v>
      </c>
      <c r="AC138" s="19">
        <v>158</v>
      </c>
      <c r="AD138" s="21">
        <v>52</v>
      </c>
      <c r="AE138" s="9"/>
      <c r="AF138" s="6">
        <v>1885</v>
      </c>
      <c r="AG138" s="77">
        <v>3.2933861957109387E-2</v>
      </c>
      <c r="AH138" s="85">
        <v>0.47189147615856891</v>
      </c>
      <c r="AI138" s="86">
        <v>0.51764728756278988</v>
      </c>
      <c r="AJ138" s="76">
        <v>1.4492100678800985E-2</v>
      </c>
      <c r="AK138" s="41">
        <v>5.0000000000000001E-3</v>
      </c>
      <c r="AL138" s="43">
        <v>1.8238529363836496E-2</v>
      </c>
      <c r="AM138" s="79">
        <v>7.6899999999999998E-3</v>
      </c>
      <c r="AN138" s="9"/>
      <c r="BB138" s="9"/>
      <c r="BC138" s="150" t="s">
        <v>184</v>
      </c>
      <c r="BD138" s="151">
        <v>0.30261761584718783</v>
      </c>
      <c r="BE138" s="151">
        <v>0.35587188612099646</v>
      </c>
      <c r="BF138" s="151">
        <v>0.29173693086003372</v>
      </c>
      <c r="BG138" s="151">
        <v>0.46818505338078292</v>
      </c>
      <c r="BH138" s="151">
        <v>0.79853530258840699</v>
      </c>
      <c r="BI138" s="151">
        <v>2.7199999999999998E-2</v>
      </c>
      <c r="BJ138" s="151">
        <v>8.72E-2</v>
      </c>
      <c r="BK138" s="151">
        <v>4.3985765124555161E-2</v>
      </c>
      <c r="BL138" s="151">
        <v>0.11814946619217082</v>
      </c>
      <c r="BM138" s="151">
        <v>0.5200997995315596</v>
      </c>
      <c r="BN138" s="165">
        <v>104.58471738016482</v>
      </c>
      <c r="BO138" s="168">
        <v>109.15169058968445</v>
      </c>
      <c r="BP138" s="9"/>
    </row>
    <row r="139" spans="1:68" x14ac:dyDescent="0.2">
      <c r="A139" s="9"/>
      <c r="B139" s="3">
        <v>1991</v>
      </c>
      <c r="C139" s="51" t="s">
        <v>112</v>
      </c>
      <c r="D139" s="26" t="s">
        <v>19</v>
      </c>
      <c r="E139" s="109">
        <f>(T139-W139)/(R139-W139-Z139+AD139)</f>
        <v>0.31560957083175084</v>
      </c>
      <c r="F139" s="109">
        <f>AA139/Q139</f>
        <v>0.40169537872573147</v>
      </c>
      <c r="G139" s="109">
        <f>(U139+V139+W139)/T139</f>
        <v>0.34076086956521739</v>
      </c>
      <c r="H139" s="109">
        <f>(AA139+X139)/Q139</f>
        <v>0.56494394312277818</v>
      </c>
      <c r="I139" s="109">
        <f>(AA139/R139)+((T139+Y139+AB139)/(R139+Y139+AB139+AD139))</f>
        <v>0.84920164252635044</v>
      </c>
      <c r="J139" s="109">
        <f>W139/AA139</f>
        <v>6.0585432266848198E-2</v>
      </c>
      <c r="K139" s="109">
        <f>(AC139+AD139)/AA139</f>
        <v>5.8543226684819608E-2</v>
      </c>
      <c r="L139" s="109">
        <f>Z139/Q139</f>
        <v>0.11812961443806398</v>
      </c>
      <c r="M139" s="109">
        <f>(Y139+AB139)/Q139</f>
        <v>0.12168444079846868</v>
      </c>
      <c r="N139" s="110">
        <f>(E139*0.7635+F139*0.7562+G139*0.75+H139*0.7248+I139*0.7021+J139*0.6285+1-K139*0.5884+1-L139*0.5276+M139*0.3663)/6.931</f>
        <v>0.54708921999348092</v>
      </c>
      <c r="O139" s="111">
        <f>N139/0.5079*100</f>
        <v>107.71593226884836</v>
      </c>
      <c r="P139" s="155">
        <f>(O139-100)/100*Q139*0.3389</f>
        <v>191.25593967405564</v>
      </c>
      <c r="Q139" s="54">
        <v>7314</v>
      </c>
      <c r="R139" s="21">
        <f>Q139-Y139-AB139-AC139-AD139</f>
        <v>6252</v>
      </c>
      <c r="S139" s="20" t="s">
        <v>19</v>
      </c>
      <c r="T139" s="19">
        <v>1840</v>
      </c>
      <c r="U139" s="19">
        <v>334</v>
      </c>
      <c r="V139" s="19">
        <v>115</v>
      </c>
      <c r="W139" s="19">
        <v>178</v>
      </c>
      <c r="X139" s="19">
        <v>1194</v>
      </c>
      <c r="Y139" s="54">
        <v>869</v>
      </c>
      <c r="Z139" s="19">
        <v>864</v>
      </c>
      <c r="AA139" s="54">
        <f>T139+U139+V139*2+W139*3</f>
        <v>2938</v>
      </c>
      <c r="AB139" s="19">
        <v>21</v>
      </c>
      <c r="AC139" s="19">
        <v>116</v>
      </c>
      <c r="AD139" s="21">
        <v>56</v>
      </c>
      <c r="AE139" s="9"/>
      <c r="AF139" s="6">
        <v>1884</v>
      </c>
      <c r="AG139" s="77">
        <v>3.5039702946995911E-2</v>
      </c>
      <c r="AH139" s="85">
        <v>0.47381798495159327</v>
      </c>
      <c r="AI139" s="86">
        <v>0.51644086974164327</v>
      </c>
      <c r="AJ139" s="76">
        <v>1.3397020753615103E-2</v>
      </c>
      <c r="AK139" s="41">
        <v>4.0800000000000003E-3</v>
      </c>
      <c r="AL139" s="43">
        <v>2.1842246460336702E-2</v>
      </c>
      <c r="AM139" s="79">
        <v>7.28E-3</v>
      </c>
      <c r="AN139" s="9"/>
      <c r="BB139" s="9"/>
      <c r="BC139" s="150" t="s">
        <v>48</v>
      </c>
      <c r="BD139" s="151">
        <v>0.30648161396480184</v>
      </c>
      <c r="BE139" s="151">
        <v>0.3894225460969416</v>
      </c>
      <c r="BF139" s="151">
        <v>0.30555555555555558</v>
      </c>
      <c r="BG139" s="151">
        <v>0.49541790879982334</v>
      </c>
      <c r="BH139" s="151">
        <v>0.81490123251389313</v>
      </c>
      <c r="BI139" s="151">
        <v>5.6138361213495892E-2</v>
      </c>
      <c r="BJ139" s="151">
        <v>3.5724411681315564E-2</v>
      </c>
      <c r="BK139" s="151">
        <v>9.0206470133598324E-2</v>
      </c>
      <c r="BL139" s="151">
        <v>0.10974936513194214</v>
      </c>
      <c r="BM139" s="151">
        <v>0.53321868978908615</v>
      </c>
      <c r="BN139" s="165">
        <v>103.49741649632884</v>
      </c>
      <c r="BO139" s="168">
        <v>107.35030699137123</v>
      </c>
      <c r="BP139" s="9"/>
    </row>
    <row r="140" spans="1:68" x14ac:dyDescent="0.2">
      <c r="A140" s="9"/>
      <c r="B140" s="3">
        <v>1985</v>
      </c>
      <c r="C140" s="51" t="s">
        <v>127</v>
      </c>
      <c r="D140" s="26" t="s">
        <v>19</v>
      </c>
      <c r="E140" s="71">
        <f>(T140-W140)/(R140-W140-Z140+AD140)</f>
        <v>0.32101727447216888</v>
      </c>
      <c r="F140" s="71">
        <f>AA140/Q140</f>
        <v>0.38883853424834908</v>
      </c>
      <c r="G140" s="71">
        <f>(U140+V140+W140)/T140</f>
        <v>0.2757964812173086</v>
      </c>
      <c r="H140" s="71">
        <f>(AA140+X140)/Q140</f>
        <v>0.50874012689369419</v>
      </c>
      <c r="I140" s="71">
        <f>(AA140/R140)+((T140+Y140+AB140)/(R140+Y140+AB140+AD140))</f>
        <v>0.86317440950303403</v>
      </c>
      <c r="J140" s="71">
        <f>W140/AA140</f>
        <v>3.1968031968031968E-2</v>
      </c>
      <c r="K140" s="71">
        <f>(AC140+AD140)/AA140</f>
        <v>5.8608058608058608E-2</v>
      </c>
      <c r="L140" s="71">
        <f>Z140/Q140</f>
        <v>3.5737407743105014E-2</v>
      </c>
      <c r="M140" s="71">
        <f>(Y140+AB140)/Q140</f>
        <v>0.12728214424446457</v>
      </c>
      <c r="N140" s="57">
        <f>(E140*0.7635+F140*0.7562+G140*0.75+H140*0.7248+I140*0.7021+J140*0.6285+1-K140*0.5884+1-L140*0.5276+M140*0.3663)/6.931</f>
        <v>0.5387575625413541</v>
      </c>
      <c r="O140" s="64">
        <f>N140/0.5021*100</f>
        <v>107.30084894271144</v>
      </c>
      <c r="P140" s="155">
        <f>(O140-100)/100*Q140*0.3389</f>
        <v>191.08692268727535</v>
      </c>
      <c r="Q140" s="54">
        <v>7723</v>
      </c>
      <c r="R140" s="21">
        <f>Q140-Y140-AB140-AC140-AD140</f>
        <v>6564</v>
      </c>
      <c r="S140" s="20" t="s">
        <v>19</v>
      </c>
      <c r="T140" s="19">
        <v>2103</v>
      </c>
      <c r="U140" s="19">
        <v>356</v>
      </c>
      <c r="V140" s="19">
        <v>128</v>
      </c>
      <c r="W140" s="19">
        <v>96</v>
      </c>
      <c r="X140" s="19">
        <v>926</v>
      </c>
      <c r="Y140" s="54">
        <v>937</v>
      </c>
      <c r="Z140" s="19">
        <v>276</v>
      </c>
      <c r="AA140" s="54">
        <f>T140+U140+V140*2+W140*3</f>
        <v>3003</v>
      </c>
      <c r="AB140" s="19">
        <v>46</v>
      </c>
      <c r="AC140" s="19">
        <v>116</v>
      </c>
      <c r="AD140" s="21">
        <v>60</v>
      </c>
      <c r="AE140" s="9"/>
      <c r="AF140" s="6">
        <v>1883</v>
      </c>
      <c r="AG140" s="77">
        <v>4.1452763517567839E-2</v>
      </c>
      <c r="AH140" s="85">
        <v>0.48259648819485323</v>
      </c>
      <c r="AI140" s="86">
        <v>0.51094359778835119</v>
      </c>
      <c r="AJ140" s="76">
        <v>1.5767717847856525E-2</v>
      </c>
      <c r="AK140" s="7">
        <v>7.8899999999999994E-3</v>
      </c>
      <c r="AL140" s="43">
        <v>2.0752773990333165E-2</v>
      </c>
      <c r="AM140" s="79">
        <v>8.5599999999999999E-3</v>
      </c>
      <c r="AN140" s="9"/>
      <c r="BB140" s="9"/>
      <c r="BC140" s="150" t="s">
        <v>163</v>
      </c>
      <c r="BD140" s="151">
        <v>0.34505901411710255</v>
      </c>
      <c r="BE140" s="151">
        <v>0.39274477142328335</v>
      </c>
      <c r="BF140" s="151">
        <v>0.25064599483204136</v>
      </c>
      <c r="BG140" s="151">
        <v>0.50249861188228762</v>
      </c>
      <c r="BH140" s="151">
        <v>0.84475124908494914</v>
      </c>
      <c r="BI140" s="151">
        <v>2.6861451460885956E-2</v>
      </c>
      <c r="BJ140" s="151">
        <v>6.8803016022620164E-2</v>
      </c>
      <c r="BK140" s="151">
        <v>6.9961132704053297E-2</v>
      </c>
      <c r="BL140" s="151">
        <v>0.10049972237645752</v>
      </c>
      <c r="BM140" s="151">
        <v>0.53124250147667662</v>
      </c>
      <c r="BN140" s="165">
        <v>105.74094376526209</v>
      </c>
      <c r="BO140" s="168">
        <v>105.12108364581678</v>
      </c>
      <c r="BP140" s="9"/>
    </row>
    <row r="141" spans="1:68" x14ac:dyDescent="0.2">
      <c r="A141" s="9"/>
      <c r="B141" s="3">
        <v>2008</v>
      </c>
      <c r="C141" s="106" t="s">
        <v>56</v>
      </c>
      <c r="D141" s="98">
        <v>0.85799999999999998</v>
      </c>
      <c r="E141" s="99">
        <f>(T141-W141)/(R141-W141-Z141+AD141)</f>
        <v>0.27554489102179563</v>
      </c>
      <c r="F141" s="99">
        <f>AA141/Q141</f>
        <v>0.28839749567070733</v>
      </c>
      <c r="G141" s="99">
        <f>(U141+V141+W141)/T141</f>
        <v>0.26252505010020039</v>
      </c>
      <c r="H141" s="99">
        <f>(AA141+S141)/Q141</f>
        <v>0.37764752897295856</v>
      </c>
      <c r="I141" s="99">
        <f>(AA141/R141)+((T141+Y141+AB141)/(R141+Y141+AB141+AD141))</f>
        <v>0.63780823730604774</v>
      </c>
      <c r="J141" s="99">
        <f>W141/AA141</f>
        <v>5.4965357967667439E-2</v>
      </c>
      <c r="K141" s="99">
        <f>(AC141+AD141)/AA141</f>
        <v>7.9907621247113161E-2</v>
      </c>
      <c r="L141" s="99">
        <f>Z141/Q141</f>
        <v>0.20007992540295724</v>
      </c>
      <c r="M141" s="99">
        <f>(Y141+AB141)/Q141</f>
        <v>0.10376981483948315</v>
      </c>
      <c r="N141" s="100">
        <f>(1-E141*0.7635+1-F141*0.7562+1-G141*0.75+1-H141*0.7248+1-I141*0.7021+1-J141*0.6285+K141*0.5884+L141*0.5276+1-M141*0.3663)/11.068</f>
        <v>0.51799246583098701</v>
      </c>
      <c r="O141" s="101">
        <f>N141/0.4988*100</f>
        <v>103.84772771270789</v>
      </c>
      <c r="P141" s="102">
        <f>(O141-100)/100*Q141*0.6611</f>
        <v>190.95802061070012</v>
      </c>
      <c r="Q141" s="54">
        <v>7507</v>
      </c>
      <c r="R141" s="54">
        <f>Q141-Y141-AB141-AC141-AD141</f>
        <v>6555</v>
      </c>
      <c r="S141" s="19">
        <v>670</v>
      </c>
      <c r="T141" s="19">
        <v>1497</v>
      </c>
      <c r="U141" s="19">
        <v>237</v>
      </c>
      <c r="V141" s="19">
        <v>37</v>
      </c>
      <c r="W141" s="19">
        <v>119</v>
      </c>
      <c r="X141" s="19" t="s">
        <v>19</v>
      </c>
      <c r="Y141" s="54">
        <v>732</v>
      </c>
      <c r="Z141" s="19">
        <v>1502</v>
      </c>
      <c r="AA141" s="54">
        <f>T141+U141+V141*2+W141*3</f>
        <v>2165</v>
      </c>
      <c r="AB141" s="19">
        <v>47</v>
      </c>
      <c r="AC141" s="19">
        <v>106</v>
      </c>
      <c r="AD141" s="19">
        <v>67</v>
      </c>
      <c r="AE141" s="9"/>
      <c r="AF141" s="6">
        <v>1882</v>
      </c>
      <c r="AG141" s="77">
        <v>3.7395288563891328E-2</v>
      </c>
      <c r="AH141" s="85">
        <v>0.47300346818076999</v>
      </c>
      <c r="AI141" s="86">
        <v>0.51695093621603572</v>
      </c>
      <c r="AJ141" s="76">
        <v>1.4416624242143749E-2</v>
      </c>
      <c r="AK141" s="7">
        <v>4.5399999999999998E-3</v>
      </c>
      <c r="AL141" s="43">
        <v>2.2364900980192854E-2</v>
      </c>
      <c r="AM141" s="79">
        <v>7.1999999999999998E-3</v>
      </c>
      <c r="AN141" s="9"/>
      <c r="BB141" s="9"/>
      <c r="BC141" s="150" t="s">
        <v>65</v>
      </c>
      <c r="BD141" s="151">
        <v>0.34865061998541208</v>
      </c>
      <c r="BE141" s="151">
        <v>0.41508347725964306</v>
      </c>
      <c r="BF141" s="151">
        <v>0.27083333333333331</v>
      </c>
      <c r="BG141" s="151">
        <v>0.58865860679332183</v>
      </c>
      <c r="BH141" s="151">
        <v>0.86363414037662023</v>
      </c>
      <c r="BI141" s="151">
        <v>3.6061026352288486E-2</v>
      </c>
      <c r="BJ141" s="151">
        <v>8.1137309292649104E-2</v>
      </c>
      <c r="BK141" s="151">
        <v>8.0023028209556701E-2</v>
      </c>
      <c r="BL141" s="151">
        <v>8.9810017271157172E-2</v>
      </c>
      <c r="BM141" s="151">
        <v>0.54563895310092481</v>
      </c>
      <c r="BN141" s="165">
        <v>108.77969559428324</v>
      </c>
      <c r="BO141" s="168">
        <v>103.36674519399595</v>
      </c>
      <c r="BP141" s="9"/>
    </row>
    <row r="142" spans="1:68" x14ac:dyDescent="0.2">
      <c r="A142" s="9"/>
      <c r="B142" s="3">
        <v>2007</v>
      </c>
      <c r="C142" s="51" t="s">
        <v>58</v>
      </c>
      <c r="D142" s="26">
        <v>0.97599999999999998</v>
      </c>
      <c r="E142" s="71">
        <f>(T142-W142)/(R142-W142-Z142+AD142)</f>
        <v>0.34143571104043619</v>
      </c>
      <c r="F142" s="71">
        <f>AA142/Q142</f>
        <v>0.41624315871774825</v>
      </c>
      <c r="G142" s="71">
        <f>(U142+V142+W142)/T142</f>
        <v>0.24291626870423433</v>
      </c>
      <c r="H142" s="71">
        <f>(AA142+X142)/Q142</f>
        <v>0.52746286161063327</v>
      </c>
      <c r="I142" s="71">
        <f>(AA142/R142)+((T142+Y142+AB142)/(R142+Y142+AB142+AD142))</f>
        <v>0.84678857855940604</v>
      </c>
      <c r="J142" s="71">
        <f>W142/AA142</f>
        <v>3.1697581591922985E-2</v>
      </c>
      <c r="K142" s="71">
        <f>(AC142+AD142)/AA142</f>
        <v>3.0523597088518432E-2</v>
      </c>
      <c r="L142" s="71">
        <f>Z142/Q142</f>
        <v>4.241594996090696E-2</v>
      </c>
      <c r="M142" s="71">
        <f>(Y142+AB142)/Q142</f>
        <v>7.9554339327599685E-2</v>
      </c>
      <c r="N142" s="57">
        <f>(E142*0.7635+F142*0.7562+G142*0.75+H142*0.7248+I142*0.7021+J142*0.6285+1-K142*0.5884+1-L142*0.5276+M142*0.3663)/6.931</f>
        <v>0.54006575262326073</v>
      </c>
      <c r="O142" s="64">
        <f>N142/0.5119*100</f>
        <v>105.50219820731796</v>
      </c>
      <c r="P142" s="155">
        <f>(O142-100)/100*Q142*0.3389</f>
        <v>190.79558958211297</v>
      </c>
      <c r="Q142" s="54">
        <v>10232</v>
      </c>
      <c r="R142" s="54">
        <f>Q142-Y142-AB142-AC142-AD142</f>
        <v>9288</v>
      </c>
      <c r="S142" s="19" t="s">
        <v>19</v>
      </c>
      <c r="T142" s="19">
        <v>3141</v>
      </c>
      <c r="U142" s="19">
        <v>543</v>
      </c>
      <c r="V142" s="19">
        <v>85</v>
      </c>
      <c r="W142" s="19">
        <v>135</v>
      </c>
      <c r="X142" s="19">
        <v>1138</v>
      </c>
      <c r="Y142" s="54">
        <v>790</v>
      </c>
      <c r="Z142" s="19">
        <v>434</v>
      </c>
      <c r="AA142" s="54">
        <f>T142+U142+V142*2+W142*3</f>
        <v>4259</v>
      </c>
      <c r="AB142" s="19">
        <v>24</v>
      </c>
      <c r="AC142" s="19">
        <v>45</v>
      </c>
      <c r="AD142" s="19">
        <v>85</v>
      </c>
      <c r="AE142" s="9"/>
      <c r="AF142" s="6">
        <v>1881</v>
      </c>
      <c r="AG142" s="77">
        <v>4.2030696576151119E-2</v>
      </c>
      <c r="AH142" s="85">
        <v>0.477015002846854</v>
      </c>
      <c r="AI142" s="86">
        <v>0.51443883405027591</v>
      </c>
      <c r="AJ142" s="76">
        <v>1.1963793781975601E-2</v>
      </c>
      <c r="AK142" s="7">
        <v>5.7000000000000002E-3</v>
      </c>
      <c r="AL142" s="43">
        <v>2.1713009950085255E-2</v>
      </c>
      <c r="AM142" s="79">
        <v>8.5000000000000006E-3</v>
      </c>
      <c r="AN142" s="9"/>
      <c r="BB142" s="9"/>
      <c r="BC142" s="150" t="s">
        <v>156</v>
      </c>
      <c r="BD142" s="151">
        <v>0.31392018331105592</v>
      </c>
      <c r="BE142" s="151">
        <v>0.41234244557210675</v>
      </c>
      <c r="BF142" s="151">
        <v>0.27761877504293075</v>
      </c>
      <c r="BG142" s="151">
        <v>0.53985922409559661</v>
      </c>
      <c r="BH142" s="151">
        <v>0.80357212990645377</v>
      </c>
      <c r="BI142" s="151">
        <v>4.0889241762604209E-2</v>
      </c>
      <c r="BJ142" s="151">
        <v>7.7014688368400155E-2</v>
      </c>
      <c r="BK142" s="151">
        <v>4.5179243738746114E-2</v>
      </c>
      <c r="BL142" s="151">
        <v>5.6801440497626456E-2</v>
      </c>
      <c r="BM142" s="151">
        <v>0.5327567019309154</v>
      </c>
      <c r="BN142" s="165">
        <v>104.97669003564836</v>
      </c>
      <c r="BO142" s="168">
        <v>103.03440946073229</v>
      </c>
      <c r="BP142" s="9"/>
    </row>
    <row r="143" spans="1:68" x14ac:dyDescent="0.2">
      <c r="A143" s="9"/>
      <c r="B143" s="3">
        <v>1963</v>
      </c>
      <c r="C143" s="51" t="s">
        <v>205</v>
      </c>
      <c r="D143" s="26" t="s">
        <v>19</v>
      </c>
      <c r="E143" s="71">
        <f>(T143-W143)/(R143-W143-Z143+AD143)</f>
        <v>0.32906173389792737</v>
      </c>
      <c r="F143" s="71">
        <f>AA143/Q143</f>
        <v>0.38547758284600392</v>
      </c>
      <c r="G143" s="71">
        <f>(U143+V143+W143)/T143</f>
        <v>0.23970539002343488</v>
      </c>
      <c r="H143" s="71">
        <f>(AA143+X143)/Q143</f>
        <v>0.49044834307992202</v>
      </c>
      <c r="I143" s="71">
        <f>(AA143/R143)+((T143+Y143+AB143)/(R143+Y143+AB143+AD143))</f>
        <v>0.8031898593078135</v>
      </c>
      <c r="J143" s="71">
        <f>W143/AA143</f>
        <v>8.5967130214917829E-3</v>
      </c>
      <c r="K143" s="71">
        <f>(AC143+AD143)/AA143</f>
        <v>7.4589127686472814E-2</v>
      </c>
      <c r="L143" s="71">
        <f>Z143/Q143</f>
        <v>2.6803118908382065E-2</v>
      </c>
      <c r="M143" s="71">
        <f>(Y143+AB143)/Q143</f>
        <v>7.4463937621832357E-2</v>
      </c>
      <c r="N143" s="57">
        <f>(E143*0.7635+F143*0.7562+G143*0.75+H143*0.7248+I143*0.7021+J143*0.6285+1-K143*0.5884+1-L143*0.5276+M143*0.3663)/6.931</f>
        <v>0.52179512191591937</v>
      </c>
      <c r="O143" s="64">
        <f>N143/0.4948*100</f>
        <v>105.45576433223916</v>
      </c>
      <c r="P143" s="155">
        <f>(O143-100)/100*Q143*0.3389</f>
        <v>189.7031454032942</v>
      </c>
      <c r="Q143" s="54">
        <v>10260</v>
      </c>
      <c r="R143" s="21">
        <f>Q143-Y143-AB143-AC143-AD143</f>
        <v>9201</v>
      </c>
      <c r="S143" s="20" t="s">
        <v>19</v>
      </c>
      <c r="T143" s="19">
        <v>2987</v>
      </c>
      <c r="U143" s="19">
        <v>498</v>
      </c>
      <c r="V143" s="19">
        <v>184</v>
      </c>
      <c r="W143" s="19">
        <v>34</v>
      </c>
      <c r="X143" s="19">
        <v>1077</v>
      </c>
      <c r="Y143" s="54">
        <v>708</v>
      </c>
      <c r="Z143" s="19">
        <v>275</v>
      </c>
      <c r="AA143" s="54">
        <f>T143+U143+V143*2+W143*3</f>
        <v>3955</v>
      </c>
      <c r="AB143" s="19">
        <v>56</v>
      </c>
      <c r="AC143" s="19">
        <v>213</v>
      </c>
      <c r="AD143" s="21">
        <v>82</v>
      </c>
      <c r="AE143" s="9"/>
      <c r="AF143" s="6">
        <v>1880</v>
      </c>
      <c r="AG143" s="77">
        <v>3.9135817259694103E-2</v>
      </c>
      <c r="AH143" s="85">
        <v>0.46720745489968551</v>
      </c>
      <c r="AI143" s="86">
        <v>0.52058051410284412</v>
      </c>
      <c r="AJ143" s="76">
        <v>1.3098518429775169E-2</v>
      </c>
      <c r="AK143" s="7">
        <v>7.9100000000000004E-3</v>
      </c>
      <c r="AL143" s="43">
        <v>1.9362783115211182E-2</v>
      </c>
      <c r="AM143" s="79">
        <v>7.0299999999999998E-3</v>
      </c>
      <c r="AN143" s="9"/>
      <c r="BB143" s="9"/>
      <c r="BC143" s="150" t="s">
        <v>251</v>
      </c>
      <c r="BD143" s="151">
        <v>0.30167322834645671</v>
      </c>
      <c r="BE143" s="151">
        <v>0.31377645748236166</v>
      </c>
      <c r="BF143" s="151">
        <v>0.25159744408945689</v>
      </c>
      <c r="BG143" s="151">
        <v>0.41217972521351653</v>
      </c>
      <c r="BH143" s="151">
        <v>0.76533656244670034</v>
      </c>
      <c r="BI143" s="151">
        <v>1.5384615384615385E-2</v>
      </c>
      <c r="BJ143" s="151">
        <v>9.2307692307692313E-2</v>
      </c>
      <c r="BK143" s="151">
        <v>7.4823616784255476E-2</v>
      </c>
      <c r="BL143" s="151">
        <v>0.14500556999628667</v>
      </c>
      <c r="BM143" s="151">
        <v>0.49940672342750109</v>
      </c>
      <c r="BN143" s="165">
        <v>105.62747957434455</v>
      </c>
      <c r="BO143" s="168">
        <v>102.71925130236548</v>
      </c>
      <c r="BP143" s="9"/>
    </row>
    <row r="144" spans="1:68" x14ac:dyDescent="0.2">
      <c r="A144" s="9"/>
      <c r="B144" s="3">
        <v>2003</v>
      </c>
      <c r="C144" s="51" t="s">
        <v>77</v>
      </c>
      <c r="D144" s="26">
        <v>0.78</v>
      </c>
      <c r="E144" s="71">
        <f>(T144-W144)/(R144-W144-Z144+AD144)</f>
        <v>0.26196473551637278</v>
      </c>
      <c r="F144" s="71">
        <f>AA144/Q144</f>
        <v>0.38773699966736891</v>
      </c>
      <c r="G144" s="71">
        <f>(U144+V144+W144)/T144</f>
        <v>0.34703632887189295</v>
      </c>
      <c r="H144" s="71">
        <f>(AA144+X144)/Q144</f>
        <v>0.52356137044018181</v>
      </c>
      <c r="I144" s="71">
        <f>(AA144/R144)+((T144+Y144+AB144)/(R144+Y144+AB144+AD144))</f>
        <v>0.77345827657084221</v>
      </c>
      <c r="J144" s="71">
        <f>W144/AA144</f>
        <v>9.2650843580211611E-2</v>
      </c>
      <c r="K144" s="71">
        <f>(AC144+AD144)/AA144</f>
        <v>3.7746639977123249E-2</v>
      </c>
      <c r="L144" s="71">
        <f>Z144/Q144</f>
        <v>0.11054440625346491</v>
      </c>
      <c r="M144" s="71">
        <f>(Y144+AB144)/Q144</f>
        <v>0.10156336622685441</v>
      </c>
      <c r="N144" s="57">
        <f>(E144*0.7635+F144*0.7562+G144*0.75+H144*0.7248+I144*0.7021+J144*0.6285+1-K144*0.5884+1-L144*0.5276+M144*0.3663)/6.931</f>
        <v>0.53252297549873895</v>
      </c>
      <c r="O144" s="64">
        <f>N144/0.5015*100</f>
        <v>106.18603698878147</v>
      </c>
      <c r="P144" s="155">
        <f>(O144-100)/100*Q144*0.3389</f>
        <v>189.07863930256812</v>
      </c>
      <c r="Q144" s="54">
        <v>9019</v>
      </c>
      <c r="R144" s="54">
        <f>Q144-Y144-AB144-AC144-AD144</f>
        <v>7971</v>
      </c>
      <c r="S144" s="20" t="s">
        <v>19</v>
      </c>
      <c r="T144" s="19">
        <v>2092</v>
      </c>
      <c r="U144" s="19">
        <v>371</v>
      </c>
      <c r="V144" s="19">
        <v>31</v>
      </c>
      <c r="W144" s="19">
        <v>324</v>
      </c>
      <c r="X144" s="19">
        <v>1225</v>
      </c>
      <c r="Y144" s="54">
        <v>848</v>
      </c>
      <c r="Z144" s="19">
        <v>997</v>
      </c>
      <c r="AA144" s="54">
        <f>T144+U144+V144*2+W144*3</f>
        <v>3497</v>
      </c>
      <c r="AB144" s="19">
        <v>68</v>
      </c>
      <c r="AC144" s="19">
        <v>33</v>
      </c>
      <c r="AD144" s="19">
        <v>99</v>
      </c>
      <c r="AE144" s="9"/>
      <c r="AF144" s="6">
        <v>1879</v>
      </c>
      <c r="AG144" s="77">
        <v>3.8843611888253658E-2</v>
      </c>
      <c r="AH144" s="85">
        <v>0.47097765332677405</v>
      </c>
      <c r="AI144" s="86">
        <v>0.51821954145212579</v>
      </c>
      <c r="AJ144" s="76">
        <v>1.2853261971374123E-2</v>
      </c>
      <c r="AK144" s="7">
        <v>5.2599999999999999E-3</v>
      </c>
      <c r="AL144" s="43">
        <v>1.9366824391253503E-2</v>
      </c>
      <c r="AM144" s="79">
        <v>7.1199999999999996E-3</v>
      </c>
      <c r="AN144" s="9"/>
      <c r="BB144" s="9"/>
      <c r="BC144" s="150" t="s">
        <v>135</v>
      </c>
      <c r="BD144" s="151">
        <v>0.31078955646429696</v>
      </c>
      <c r="BE144" s="151">
        <v>0.36830920440961618</v>
      </c>
      <c r="BF144" s="151">
        <v>0.24975657254138267</v>
      </c>
      <c r="BG144" s="151">
        <v>0.48386239872493025</v>
      </c>
      <c r="BH144" s="151">
        <v>0.78339818694511032</v>
      </c>
      <c r="BI144" s="151">
        <v>2.8128380815001804E-2</v>
      </c>
      <c r="BJ144" s="151">
        <v>7.4648395239812482E-2</v>
      </c>
      <c r="BK144" s="151">
        <v>3.8119272147695574E-2</v>
      </c>
      <c r="BL144" s="151">
        <v>8.7262584672599286E-2</v>
      </c>
      <c r="BM144" s="151">
        <v>0.51788430791439077</v>
      </c>
      <c r="BN144" s="165">
        <v>103.70130314665414</v>
      </c>
      <c r="BO144" s="168">
        <v>94.441640504637917</v>
      </c>
      <c r="BP144" s="9"/>
    </row>
    <row r="145" spans="1:68" x14ac:dyDescent="0.2">
      <c r="A145" s="9"/>
      <c r="B145" s="3">
        <v>1962</v>
      </c>
      <c r="C145" s="51" t="s">
        <v>208</v>
      </c>
      <c r="D145" s="26">
        <v>0.77500000000000002</v>
      </c>
      <c r="E145" s="71">
        <f>(T145-W145)/(R145-W145-Z145+AD145)</f>
        <v>0.31075174825174823</v>
      </c>
      <c r="F145" s="71">
        <f>AA145/Q145</f>
        <v>0.40094260225551254</v>
      </c>
      <c r="G145" s="71">
        <f>(U145+V145+W145)/T145</f>
        <v>0.30838131797824697</v>
      </c>
      <c r="H145" s="71">
        <f>(AA145+X145)/Q145</f>
        <v>0.52903551590641307</v>
      </c>
      <c r="I145" s="71">
        <f>(AA145/R145)+((T145+Y145+AB145)/(R145+Y145+AB145+AD145))</f>
        <v>0.88974679117150524</v>
      </c>
      <c r="J145" s="71">
        <f>W145/AA145</f>
        <v>5.9193954659949623E-2</v>
      </c>
      <c r="K145" s="71">
        <f>(AC145+AD145)/AA145</f>
        <v>6.3392107472712012E-2</v>
      </c>
      <c r="L145" s="71">
        <f>Z145/Q145</f>
        <v>4.8981652920383777E-2</v>
      </c>
      <c r="M145" s="71">
        <f>(Y145+AB145)/Q145</f>
        <v>0.1393704763507827</v>
      </c>
      <c r="N145" s="57">
        <f>(E145*0.7635+F145*0.7562+G145*0.75+H145*0.7248+I145*0.7021+J145*0.6285+1-K145*0.5884+1-L145*0.5276+M145*0.3663)/6.931</f>
        <v>0.54898082210118715</v>
      </c>
      <c r="O145" s="64">
        <f>N145/0.5024*100</f>
        <v>109.27166045007708</v>
      </c>
      <c r="P145" s="155">
        <f>(O145-100)/100*Q145*0.3389</f>
        <v>186.67606581321391</v>
      </c>
      <c r="Q145" s="54">
        <v>5941</v>
      </c>
      <c r="R145" s="21">
        <f>Q145-Y145-AB145-AC145-AD145</f>
        <v>4962</v>
      </c>
      <c r="S145" s="20" t="s">
        <v>19</v>
      </c>
      <c r="T145" s="19">
        <v>1563</v>
      </c>
      <c r="U145" s="19">
        <v>286</v>
      </c>
      <c r="V145" s="19">
        <v>55</v>
      </c>
      <c r="W145" s="19">
        <v>141</v>
      </c>
      <c r="X145" s="19">
        <v>761</v>
      </c>
      <c r="Y145" s="54">
        <v>756</v>
      </c>
      <c r="Z145" s="19">
        <v>291</v>
      </c>
      <c r="AA145" s="54">
        <f>T145+U145+V145*2+W145*3</f>
        <v>2382</v>
      </c>
      <c r="AB145" s="19">
        <v>72</v>
      </c>
      <c r="AC145" s="19">
        <v>105</v>
      </c>
      <c r="AD145" s="21">
        <v>46</v>
      </c>
      <c r="AE145" s="9"/>
      <c r="AF145" s="6">
        <v>1878</v>
      </c>
      <c r="AG145" s="77">
        <v>3.4337521416333526E-2</v>
      </c>
      <c r="AH145" s="85">
        <v>0.46394623159357218</v>
      </c>
      <c r="AI145" s="86">
        <v>0.52262275648942469</v>
      </c>
      <c r="AJ145" s="76">
        <v>9.4231867504283272E-3</v>
      </c>
      <c r="AK145" s="7">
        <v>9.2599999999999991E-3</v>
      </c>
      <c r="AL145" s="43">
        <v>2.2379792306181201E-2</v>
      </c>
      <c r="AM145" s="79">
        <v>8.4799999999999997E-3</v>
      </c>
      <c r="AN145" s="9"/>
      <c r="BB145" s="9"/>
      <c r="BC145" s="150" t="s">
        <v>36</v>
      </c>
      <c r="BD145" s="151">
        <v>0.31169994879672297</v>
      </c>
      <c r="BE145" s="151">
        <v>0.36403127715030409</v>
      </c>
      <c r="BF145" s="151">
        <v>0.27370441458733208</v>
      </c>
      <c r="BG145" s="151">
        <v>0.4586350033787045</v>
      </c>
      <c r="BH145" s="151">
        <v>0.81041330271702283</v>
      </c>
      <c r="BI145" s="151">
        <v>4.5080880403076104E-2</v>
      </c>
      <c r="BJ145" s="151">
        <v>3.0495889684433838E-2</v>
      </c>
      <c r="BK145" s="151">
        <v>9.3252244425137562E-2</v>
      </c>
      <c r="BL145" s="151">
        <v>0.13244521671976059</v>
      </c>
      <c r="BM145" s="151">
        <v>0.52368429584232035</v>
      </c>
      <c r="BN145" s="165">
        <v>102.66306525040588</v>
      </c>
      <c r="BO145" s="168">
        <v>93.491302336226781</v>
      </c>
      <c r="BP145" s="9"/>
    </row>
    <row r="146" spans="1:68" x14ac:dyDescent="0.2">
      <c r="A146" s="9"/>
      <c r="B146" s="3">
        <v>1972</v>
      </c>
      <c r="C146" s="51" t="s">
        <v>175</v>
      </c>
      <c r="D146" s="26" t="s">
        <v>19</v>
      </c>
      <c r="E146" s="71">
        <f>(T146-W146)/(R146-W146-Z146+AD146)</f>
        <v>0.3488630061009429</v>
      </c>
      <c r="F146" s="71">
        <f>AA146/Q146</f>
        <v>0.48720975993703264</v>
      </c>
      <c r="G146" s="71">
        <f>(U146+V146+W146)/T146</f>
        <v>0.38397790055248621</v>
      </c>
      <c r="H146" s="71">
        <f>(AA146+X146)/Q146</f>
        <v>0.70365997638724909</v>
      </c>
      <c r="I146" s="71">
        <f>(AA146/R146)+((T146+Y146+AB146)/(R146+Y146+AB146+AD146))</f>
        <v>1.0452056962480614</v>
      </c>
      <c r="J146" s="71">
        <f>W146/AA146</f>
        <v>7.6736672051696278E-2</v>
      </c>
      <c r="K146" s="71">
        <f>(AC146+AD146)/AA146</f>
        <v>4.5234248788368334E-2</v>
      </c>
      <c r="L146" s="71">
        <f>Z146/Q146</f>
        <v>7.9889807162534437E-2</v>
      </c>
      <c r="M146" s="71">
        <f>(Y146+AB146)/Q146</f>
        <v>0.15899252262888627</v>
      </c>
      <c r="N146" s="57">
        <f>(E146*0.7635+F146*0.7562+G146*0.75+H146*0.7248+I146*0.7021+J146*0.6285+1-K146*0.5884+1-L146*0.5276+M146*0.3663)/6.931</f>
        <v>0.60659678061397815</v>
      </c>
      <c r="O146" s="64">
        <f>N146/0.4986*100</f>
        <v>121.66000413437187</v>
      </c>
      <c r="P146" s="155">
        <f>(O146-100)/100*Q146*0.3389</f>
        <v>186.52402094293251</v>
      </c>
      <c r="Q146" s="54">
        <v>2541</v>
      </c>
      <c r="R146" s="21">
        <f>Q146-Y146-AB146-AC146-AD146</f>
        <v>2081</v>
      </c>
      <c r="S146" s="20" t="s">
        <v>19</v>
      </c>
      <c r="T146" s="19">
        <v>724</v>
      </c>
      <c r="U146" s="19">
        <v>137</v>
      </c>
      <c r="V146" s="19">
        <v>46</v>
      </c>
      <c r="W146" s="19">
        <v>95</v>
      </c>
      <c r="X146" s="19">
        <v>550</v>
      </c>
      <c r="Y146" s="54">
        <v>394</v>
      </c>
      <c r="Z146" s="21">
        <v>203</v>
      </c>
      <c r="AA146" s="54">
        <f>T146+U146+V146*2+W146*3</f>
        <v>1238</v>
      </c>
      <c r="AB146" s="19">
        <v>10</v>
      </c>
      <c r="AC146" s="19">
        <v>36</v>
      </c>
      <c r="AD146" s="21">
        <v>20</v>
      </c>
      <c r="AE146" s="9"/>
      <c r="AF146" s="6">
        <v>1877</v>
      </c>
      <c r="AG146" s="77">
        <v>3.0759349129317728E-2</v>
      </c>
      <c r="AH146" s="85">
        <v>0.47457694107588183</v>
      </c>
      <c r="AI146" s="86">
        <v>0.51596559644046458</v>
      </c>
      <c r="AJ146" s="76">
        <v>1.4558949471881244E-2</v>
      </c>
      <c r="AK146" s="7">
        <v>8.3499999999999998E-3</v>
      </c>
      <c r="AL146" s="43">
        <v>2.0088681040598945E-2</v>
      </c>
      <c r="AM146" s="79">
        <v>8.4700000000000001E-3</v>
      </c>
      <c r="AN146" s="9"/>
      <c r="BB146" s="9"/>
      <c r="BC146" s="150" t="s">
        <v>53</v>
      </c>
      <c r="BD146" s="151">
        <v>0.30518977536793185</v>
      </c>
      <c r="BE146" s="151">
        <v>0.34377341525550725</v>
      </c>
      <c r="BF146" s="151">
        <v>0.2857610474631751</v>
      </c>
      <c r="BG146" s="151">
        <v>0.42731904690543981</v>
      </c>
      <c r="BH146" s="151">
        <v>0.81982156814807161</v>
      </c>
      <c r="BI146" s="151">
        <v>6.4734088927637309E-2</v>
      </c>
      <c r="BJ146" s="151">
        <v>2.1142109851787272E-2</v>
      </c>
      <c r="BK146" s="151">
        <v>0.1269294170537989</v>
      </c>
      <c r="BL146" s="151">
        <v>0.17143713472201408</v>
      </c>
      <c r="BM146" s="151">
        <v>0.52181316164567215</v>
      </c>
      <c r="BN146" s="165">
        <v>102.05616304433252</v>
      </c>
      <c r="BO146" s="168">
        <v>92.99941969296394</v>
      </c>
      <c r="BP146" s="9"/>
    </row>
    <row r="147" spans="1:68" x14ac:dyDescent="0.2">
      <c r="A147" s="9"/>
      <c r="B147" s="3">
        <v>1998</v>
      </c>
      <c r="C147" s="106" t="s">
        <v>95</v>
      </c>
      <c r="D147" s="98" t="s">
        <v>19</v>
      </c>
      <c r="E147" s="99">
        <f>(T147-W147)/(R147-W147-Z147+AD147)</f>
        <v>0.28268856710611628</v>
      </c>
      <c r="F147" s="99">
        <f>AA147/Q147</f>
        <v>0.29173393606716175</v>
      </c>
      <c r="G147" s="99">
        <f>(U147+V147+W147)/T147</f>
        <v>0.26691729323308272</v>
      </c>
      <c r="H147" s="99">
        <f>(AA147+S147)/Q147</f>
        <v>0.39037778495318048</v>
      </c>
      <c r="I147" s="99">
        <f>(AA147/R147)+((T147+Y147+AB147)/(R147+Y147+AB147+AD147))</f>
        <v>0.62154236614857994</v>
      </c>
      <c r="J147" s="99">
        <f>W147/AA147</f>
        <v>1.2174875484228001E-2</v>
      </c>
      <c r="K147" s="99">
        <f>(AC147+AD147)/AA147</f>
        <v>0.13337022689540676</v>
      </c>
      <c r="L147" s="99">
        <f>Z147/Q147</f>
        <v>0.14820794317081046</v>
      </c>
      <c r="M147" s="99">
        <f>(Y147+AB147)/Q147</f>
        <v>7.022925411688731E-2</v>
      </c>
      <c r="N147" s="100">
        <f>(1-E147*0.7635+1-F147*0.7562+1-G147*0.75+1-H147*0.7248+1-I147*0.7021+1-J147*0.6285+K147*0.5884+L147*0.5276+1-M147*0.3663)/11.068</f>
        <v>0.52108168233881647</v>
      </c>
      <c r="O147" s="101">
        <f>N147/0.4984*100</f>
        <v>104.55089934566944</v>
      </c>
      <c r="P147" s="102">
        <f>(O147-100)/100*Q147*0.6611</f>
        <v>186.35265658672265</v>
      </c>
      <c r="Q147" s="21">
        <v>6194</v>
      </c>
      <c r="R147" s="21">
        <f>Q147-Y147-AB147-AC147-AD147</f>
        <v>5518</v>
      </c>
      <c r="S147" s="19">
        <v>611</v>
      </c>
      <c r="T147" s="19">
        <v>1330</v>
      </c>
      <c r="U147" s="21">
        <v>255</v>
      </c>
      <c r="V147" s="21">
        <v>78</v>
      </c>
      <c r="W147" s="19">
        <v>22</v>
      </c>
      <c r="X147" s="19" t="s">
        <v>19</v>
      </c>
      <c r="Y147" s="54">
        <v>405</v>
      </c>
      <c r="Z147" s="19">
        <v>918</v>
      </c>
      <c r="AA147" s="21">
        <f>T147+U147+V147*2+W147*3</f>
        <v>1807</v>
      </c>
      <c r="AB147" s="19">
        <v>30</v>
      </c>
      <c r="AC147" s="21">
        <v>192</v>
      </c>
      <c r="AD147" s="21">
        <v>49</v>
      </c>
      <c r="AE147" s="9"/>
      <c r="AF147" s="6">
        <v>1876</v>
      </c>
      <c r="AG147" s="77">
        <v>3.0942953512245196E-2</v>
      </c>
      <c r="AH147" s="85">
        <v>0.46638858497307029</v>
      </c>
      <c r="AI147" s="86">
        <v>0.52109330660929254</v>
      </c>
      <c r="AJ147" s="76">
        <v>8.8478271496309335E-3</v>
      </c>
      <c r="AK147" s="7">
        <v>8.1700000000000002E-3</v>
      </c>
      <c r="AL147" s="43">
        <v>2.0233256257742593E-2</v>
      </c>
      <c r="AM147" s="79">
        <v>7.2100000000000003E-3</v>
      </c>
      <c r="AN147" s="9"/>
      <c r="BB147" s="9"/>
      <c r="BC147" s="150" t="s">
        <v>257</v>
      </c>
      <c r="BD147" s="151">
        <v>0.32430107526881718</v>
      </c>
      <c r="BE147" s="151">
        <v>0.35198300283286121</v>
      </c>
      <c r="BF147" s="151">
        <v>0.22149410222804719</v>
      </c>
      <c r="BG147" s="151">
        <v>0.50070821529745047</v>
      </c>
      <c r="BH147" s="151">
        <v>0.79956385521516793</v>
      </c>
      <c r="BI147" s="151">
        <v>9.0543259557344068E-3</v>
      </c>
      <c r="BJ147" s="151">
        <v>7.9476861167002005E-2</v>
      </c>
      <c r="BK147" s="151">
        <v>4.1430594900849861E-2</v>
      </c>
      <c r="BL147" s="151">
        <v>0.11225212464589235</v>
      </c>
      <c r="BM147" s="151">
        <v>0.5168614516975566</v>
      </c>
      <c r="BN147" s="165">
        <v>104.84005105427113</v>
      </c>
      <c r="BO147" s="168">
        <v>92.643765713479567</v>
      </c>
      <c r="BP147" s="9"/>
    </row>
    <row r="148" spans="1:68" x14ac:dyDescent="0.2">
      <c r="A148" s="9"/>
      <c r="B148" s="3">
        <v>1999</v>
      </c>
      <c r="C148" s="51" t="s">
        <v>89</v>
      </c>
      <c r="D148" s="26">
        <v>0.77500000000000002</v>
      </c>
      <c r="E148" s="71">
        <f>(T148-W148)/(R148-W148-Z148+AD148)</f>
        <v>0.30335781741867784</v>
      </c>
      <c r="F148" s="71">
        <f>AA148/Q148</f>
        <v>0.38615397175279614</v>
      </c>
      <c r="G148" s="71">
        <f>(U148+V148+W148)/T148</f>
        <v>0.30553787396562698</v>
      </c>
      <c r="H148" s="71">
        <f>(AA148+X148)/Q148</f>
        <v>0.50093885215119605</v>
      </c>
      <c r="I148" s="71">
        <f>(AA148/R148)+((T148+Y148+AB148)/(R148+Y148+AB148+AD148))</f>
        <v>0.77188593557019347</v>
      </c>
      <c r="J148" s="71">
        <f>W148/AA148</f>
        <v>5.3065539112050739E-2</v>
      </c>
      <c r="K148" s="71">
        <f>(AC148+AD148)/AA148</f>
        <v>4.7991543340380548E-2</v>
      </c>
      <c r="L148" s="71">
        <f>Z148/Q148</f>
        <v>0.11021307861866275</v>
      </c>
      <c r="M148" s="71">
        <f>(Y148+AB148)/Q148</f>
        <v>8.2782267940240017E-2</v>
      </c>
      <c r="N148" s="57">
        <f>(E148*0.7635+F148*0.7562+G148*0.75+H148*0.7248+I148*0.7021+J148*0.6285+1-K148*0.5884+1-L148*0.5276+M148*0.3663)/6.931</f>
        <v>0.5244678285404144</v>
      </c>
      <c r="O148" s="64">
        <f>N148/0.502*100</f>
        <v>104.47566305585944</v>
      </c>
      <c r="P148" s="155">
        <f>(O148-100)/100*Q148*0.3389</f>
        <v>185.79310265767242</v>
      </c>
      <c r="Q148" s="54">
        <v>12249</v>
      </c>
      <c r="R148" s="54">
        <f>Q148-Y148-AB148-AC148-AD148</f>
        <v>11008</v>
      </c>
      <c r="S148" s="20" t="s">
        <v>19</v>
      </c>
      <c r="T148" s="19">
        <v>3142</v>
      </c>
      <c r="U148" s="19">
        <v>583</v>
      </c>
      <c r="V148" s="19">
        <v>126</v>
      </c>
      <c r="W148" s="19">
        <v>251</v>
      </c>
      <c r="X148" s="19">
        <v>1406</v>
      </c>
      <c r="Y148" s="54">
        <v>966</v>
      </c>
      <c r="Z148" s="19">
        <v>1350</v>
      </c>
      <c r="AA148" s="54">
        <f>T148+U148+V148*2+W148*3</f>
        <v>4730</v>
      </c>
      <c r="AB148" s="19">
        <v>48</v>
      </c>
      <c r="AC148" s="19">
        <v>104</v>
      </c>
      <c r="AD148" s="19">
        <v>123</v>
      </c>
      <c r="AE148" s="9"/>
      <c r="AF148" s="39"/>
      <c r="AG148" s="39"/>
      <c r="AH148" s="39"/>
      <c r="AI148" s="39"/>
      <c r="AJ148" s="39"/>
      <c r="AK148" s="40"/>
      <c r="AL148" s="39"/>
      <c r="AM148" s="40"/>
      <c r="AN148" s="9"/>
      <c r="BB148" s="9"/>
      <c r="BC148" s="150" t="s">
        <v>50</v>
      </c>
      <c r="BD148" s="151">
        <v>0.32148337595907928</v>
      </c>
      <c r="BE148" s="151">
        <v>0.38634615384615384</v>
      </c>
      <c r="BF148" s="151">
        <v>0.29148311306901614</v>
      </c>
      <c r="BG148" s="151">
        <v>0.49538461538461537</v>
      </c>
      <c r="BH148" s="151">
        <v>0.81409705445908698</v>
      </c>
      <c r="BI148" s="151">
        <v>5.2264808362369339E-2</v>
      </c>
      <c r="BJ148" s="151">
        <v>6.097560975609756E-2</v>
      </c>
      <c r="BK148" s="151">
        <v>0.10961538461538461</v>
      </c>
      <c r="BL148" s="151">
        <v>0.10403846153846154</v>
      </c>
      <c r="BM148" s="151">
        <v>0.52865369497405823</v>
      </c>
      <c r="BN148" s="165">
        <v>102.55163821029258</v>
      </c>
      <c r="BO148" s="168">
        <v>89.934019704688168</v>
      </c>
      <c r="BP148" s="9"/>
    </row>
    <row r="149" spans="1:68" x14ac:dyDescent="0.2">
      <c r="A149" s="9"/>
      <c r="B149" s="3">
        <v>2006</v>
      </c>
      <c r="C149" s="51" t="s">
        <v>71</v>
      </c>
      <c r="D149" s="26" t="s">
        <v>19</v>
      </c>
      <c r="E149" s="71">
        <f>(T149-W149)/(R149-W149-Z149+AD149)</f>
        <v>0.3705357142857143</v>
      </c>
      <c r="F149" s="71">
        <f>AA149/Q149</f>
        <v>0.4516310461192351</v>
      </c>
      <c r="G149" s="71">
        <f>(U149+V149+W149)/T149</f>
        <v>0.30661696178937559</v>
      </c>
      <c r="H149" s="71">
        <f>(AA149+X149)/Q149</f>
        <v>0.65523059617547807</v>
      </c>
      <c r="I149" s="71">
        <f>(AA149/R149)+((T149+Y149+AB149)/(R149+Y149+AB149+AD149))</f>
        <v>0.96671782371881676</v>
      </c>
      <c r="J149" s="71">
        <f>W149/AA149</f>
        <v>4.7945205479452052E-2</v>
      </c>
      <c r="K149" s="71">
        <f>(AC149+AD149)/AA149</f>
        <v>5.3549190535491904E-2</v>
      </c>
      <c r="L149" s="71">
        <f>Z149/Q149</f>
        <v>7.9865016872890895E-2</v>
      </c>
      <c r="M149" s="71">
        <f>(Y149+AB149)/Q149</f>
        <v>0.12626546681664791</v>
      </c>
      <c r="N149" s="57">
        <f>(E149*0.7635+F149*0.7562+G149*0.75+H149*0.7248+I149*0.7021+J149*0.6285+1-K149*0.5884+1-L149*0.5276+M149*0.3663)/6.931</f>
        <v>0.57867166814904936</v>
      </c>
      <c r="O149" s="64">
        <f>N149/0.503*100</f>
        <v>115.04406921452272</v>
      </c>
      <c r="P149" s="155">
        <f>(O149-100)/100*Q149*0.3389</f>
        <v>181.30035061987024</v>
      </c>
      <c r="Q149" s="54">
        <v>3556</v>
      </c>
      <c r="R149" s="21">
        <f>Q149-Y149-AB149-AC149-AD149</f>
        <v>3021</v>
      </c>
      <c r="S149" s="20" t="s">
        <v>19</v>
      </c>
      <c r="T149" s="19">
        <v>1073</v>
      </c>
      <c r="U149" s="19">
        <v>202</v>
      </c>
      <c r="V149" s="19">
        <v>50</v>
      </c>
      <c r="W149" s="19">
        <v>77</v>
      </c>
      <c r="X149" s="19">
        <v>724</v>
      </c>
      <c r="Y149" s="54">
        <v>415</v>
      </c>
      <c r="Z149" s="21">
        <v>284</v>
      </c>
      <c r="AA149" s="54">
        <f>T149+U149+V149*2+W149*3</f>
        <v>1606</v>
      </c>
      <c r="AB149" s="19">
        <v>34</v>
      </c>
      <c r="AC149" s="19">
        <v>58</v>
      </c>
      <c r="AD149" s="21">
        <v>28</v>
      </c>
      <c r="AE149" s="9"/>
      <c r="AF149" s="37"/>
      <c r="AG149" s="37"/>
      <c r="AH149" s="37"/>
      <c r="AI149" s="37"/>
      <c r="AJ149" s="37"/>
      <c r="AK149" s="75"/>
      <c r="AM149" s="17"/>
      <c r="BB149" s="9"/>
      <c r="BC149" s="150" t="s">
        <v>43</v>
      </c>
      <c r="BD149" s="151">
        <v>0.31063495624859772</v>
      </c>
      <c r="BE149" s="151">
        <v>0.37675943698016634</v>
      </c>
      <c r="BF149" s="151">
        <v>0.33137254901960783</v>
      </c>
      <c r="BG149" s="151">
        <v>0.47072936660268716</v>
      </c>
      <c r="BH149" s="151">
        <v>0.79633432497873302</v>
      </c>
      <c r="BI149" s="151">
        <v>6.1770324771810659E-2</v>
      </c>
      <c r="BJ149" s="151">
        <v>3.8632986627043092E-2</v>
      </c>
      <c r="BK149" s="151">
        <v>0.14019513755598209</v>
      </c>
      <c r="BL149" s="151">
        <v>0.11556301983365323</v>
      </c>
      <c r="BM149" s="151">
        <v>0.52739149343015002</v>
      </c>
      <c r="BN149" s="165">
        <v>102.08894568915024</v>
      </c>
      <c r="BO149" s="168">
        <v>88.521279504389</v>
      </c>
      <c r="BP149" s="9"/>
    </row>
    <row r="150" spans="1:68" x14ac:dyDescent="0.2">
      <c r="A150" s="9"/>
      <c r="B150" s="3">
        <v>1963</v>
      </c>
      <c r="C150" s="106" t="s">
        <v>206</v>
      </c>
      <c r="D150" s="98" t="s">
        <v>19</v>
      </c>
      <c r="E150" s="103">
        <f>(T150-W150)/(R150-W150-Z150+AD150)</f>
        <v>0.28756017228274638</v>
      </c>
      <c r="F150" s="103">
        <f>AA150/Q150</f>
        <v>0.31843873307027837</v>
      </c>
      <c r="G150" s="103">
        <f>(U150+V150+W150)/T150</f>
        <v>0.20569825167278222</v>
      </c>
      <c r="H150" s="103">
        <f>(AA150+S150)/Q150</f>
        <v>0.42433614162312039</v>
      </c>
      <c r="I150" s="103">
        <f>(AA150/R150)+((T150+Y150+AB150)/(R150+Y150+AB150+AD150))</f>
        <v>0.66557121469332092</v>
      </c>
      <c r="J150" s="103">
        <f>W150/AA150</f>
        <v>1.5572672471533825E-2</v>
      </c>
      <c r="K150" s="103">
        <f>(AC150+AD150)/AA150</f>
        <v>9.4608171466845276E-2</v>
      </c>
      <c r="L150" s="103">
        <f>Z150/Q150</f>
        <v>7.1984643276101101E-2</v>
      </c>
      <c r="M150" s="103">
        <f>(Y150+AB150)/Q150</f>
        <v>6.1746827343500052E-2</v>
      </c>
      <c r="N150" s="104">
        <f>(1-E150*0.7635+1-F150*0.7562+1-G150*0.75+1-H150*0.7248+1-I150*0.7021+1-J150*0.6285+K150*0.5884+L150*0.5276+1-M150*0.3663)/11.068</f>
        <v>0.51244629769194561</v>
      </c>
      <c r="O150" s="105">
        <f>N150/0.5052*100</f>
        <v>101.43434237766145</v>
      </c>
      <c r="P150" s="102">
        <f>(O150-100)/100*Q150*0.6611</f>
        <v>177.83363210083218</v>
      </c>
      <c r="Q150" s="54">
        <v>18754</v>
      </c>
      <c r="R150" s="21">
        <f>Q150-Y150-AB150-AC150-AD150</f>
        <v>17031</v>
      </c>
      <c r="S150" s="19">
        <v>1986</v>
      </c>
      <c r="T150" s="19">
        <v>4633</v>
      </c>
      <c r="U150" s="21">
        <v>660</v>
      </c>
      <c r="V150" s="21">
        <v>200</v>
      </c>
      <c r="W150" s="19">
        <v>93</v>
      </c>
      <c r="X150" s="20" t="s">
        <v>19</v>
      </c>
      <c r="Y150" s="54">
        <v>1082</v>
      </c>
      <c r="Z150" s="19">
        <v>1350</v>
      </c>
      <c r="AA150" s="54">
        <f>T150+U150+V150*2+W150*3</f>
        <v>5972</v>
      </c>
      <c r="AB150" s="19">
        <v>76</v>
      </c>
      <c r="AC150" s="21">
        <v>365</v>
      </c>
      <c r="AD150" s="21">
        <v>200</v>
      </c>
      <c r="AE150" s="9"/>
      <c r="AF150" s="37"/>
      <c r="AG150" s="87"/>
      <c r="AH150" s="88"/>
      <c r="AI150" s="88"/>
      <c r="AJ150" s="87"/>
      <c r="AK150" s="87"/>
      <c r="AL150" s="87"/>
      <c r="AM150" s="87"/>
      <c r="BB150" s="9"/>
      <c r="BC150" s="150" t="s">
        <v>197</v>
      </c>
      <c r="BD150" s="151">
        <v>0.32601880877742945</v>
      </c>
      <c r="BE150" s="151">
        <v>0.34406085430076067</v>
      </c>
      <c r="BF150" s="151">
        <v>0.21353219352491815</v>
      </c>
      <c r="BG150" s="151">
        <v>0.45289643066120538</v>
      </c>
      <c r="BH150" s="151">
        <v>0.8005199009163162</v>
      </c>
      <c r="BI150" s="151">
        <v>1.2755102040816327E-2</v>
      </c>
      <c r="BJ150" s="151">
        <v>4.3650793650793648E-2</v>
      </c>
      <c r="BK150" s="151">
        <v>5.1492100643651256E-2</v>
      </c>
      <c r="BL150" s="151">
        <v>0.12804759118392822</v>
      </c>
      <c r="BM150" s="151">
        <v>0.5138676574871861</v>
      </c>
      <c r="BN150" s="165">
        <v>102.42528552664663</v>
      </c>
      <c r="BO150" s="168">
        <v>84.280626831104954</v>
      </c>
      <c r="BP150" s="9"/>
    </row>
    <row r="151" spans="1:68" x14ac:dyDescent="0.2">
      <c r="A151" s="9"/>
      <c r="B151" s="3">
        <v>1991</v>
      </c>
      <c r="C151" s="51" t="s">
        <v>110</v>
      </c>
      <c r="D151" s="26">
        <v>0.90500000000000003</v>
      </c>
      <c r="E151" s="72">
        <f>(T151-W151)/(R151-W151-Z151+AD151)</f>
        <v>0.35851798038503452</v>
      </c>
      <c r="F151" s="72">
        <f>AA151/Q151</f>
        <v>0.378957345971564</v>
      </c>
      <c r="G151" s="72">
        <f>(U151+V151+W151)/T151</f>
        <v>0.2125777923354078</v>
      </c>
      <c r="H151" s="72">
        <f>(AA151+X151)/Q151</f>
        <v>0.47516587677725119</v>
      </c>
      <c r="I151" s="72">
        <f>(AA151/R151)+((T151+Y151+AB151)/(R151+Y151+AB151+AD151))</f>
        <v>0.82221499114192653</v>
      </c>
      <c r="J151" s="72">
        <f>W151/AA151</f>
        <v>2.301150575287644E-2</v>
      </c>
      <c r="K151" s="72">
        <f>(AC151+AD151)/AA151</f>
        <v>4.8024012006003002E-2</v>
      </c>
      <c r="L151" s="72">
        <f>Z151/Q151</f>
        <v>9.7440758293838858E-2</v>
      </c>
      <c r="M151" s="72">
        <f>(Y151+AB151)/Q151</f>
        <v>9.8862559241706158E-2</v>
      </c>
      <c r="N151" s="58">
        <f>(E151*0.7635+F151*0.7562+G151*0.75+H151*0.7248+I151*0.7021+J151*0.6285+1-K151*0.5884+1-L151*0.5276+M151*0.3663)/6.931</f>
        <v>0.52119690580636024</v>
      </c>
      <c r="O151" s="65">
        <f>N151/0.4966*100</f>
        <v>104.95306198275478</v>
      </c>
      <c r="P151" s="155">
        <f>(O151-100)/100*Q151*0.3389</f>
        <v>177.09153047831506</v>
      </c>
      <c r="Q151" s="54">
        <v>10550</v>
      </c>
      <c r="R151" s="54">
        <f>Q151-Y151-AB151-AC151-AD151</f>
        <v>9315</v>
      </c>
      <c r="S151" s="20" t="s">
        <v>19</v>
      </c>
      <c r="T151" s="19">
        <v>3053</v>
      </c>
      <c r="U151" s="19">
        <v>445</v>
      </c>
      <c r="V151" s="19">
        <v>112</v>
      </c>
      <c r="W151" s="19">
        <v>92</v>
      </c>
      <c r="X151" s="19">
        <v>1015</v>
      </c>
      <c r="Y151" s="54">
        <v>1018</v>
      </c>
      <c r="Z151" s="19">
        <v>1028</v>
      </c>
      <c r="AA151" s="54">
        <f>T151+U151+V151*2+W151*3</f>
        <v>3998</v>
      </c>
      <c r="AB151" s="19">
        <v>25</v>
      </c>
      <c r="AC151" s="19">
        <v>128</v>
      </c>
      <c r="AD151" s="19">
        <v>64</v>
      </c>
      <c r="AE151" s="9"/>
      <c r="AF151" s="37"/>
      <c r="AG151" s="134"/>
      <c r="AH151" s="88"/>
      <c r="AI151" s="37"/>
      <c r="AJ151" s="134"/>
      <c r="AK151" s="134"/>
      <c r="AL151" s="134"/>
      <c r="AM151" s="134"/>
      <c r="BB151" s="9"/>
      <c r="BC151" s="150" t="s">
        <v>210</v>
      </c>
      <c r="BD151" s="151">
        <v>0.30174418604651165</v>
      </c>
      <c r="BE151" s="151">
        <v>0.33531377645748234</v>
      </c>
      <c r="BF151" s="151">
        <v>0.24315196998123828</v>
      </c>
      <c r="BG151" s="151">
        <v>0.4097660601559599</v>
      </c>
      <c r="BH151" s="151">
        <v>0.75007509062230548</v>
      </c>
      <c r="BI151" s="151">
        <v>1.937984496124031E-2</v>
      </c>
      <c r="BJ151" s="151">
        <v>0.10409745293466224</v>
      </c>
      <c r="BK151" s="151">
        <v>6.4519123653917571E-2</v>
      </c>
      <c r="BL151" s="151">
        <v>0.10369476420349052</v>
      </c>
      <c r="BM151" s="151">
        <v>0.4970146438545468</v>
      </c>
      <c r="BN151" s="165">
        <v>102.22432000299193</v>
      </c>
      <c r="BO151" s="168">
        <v>81.201711119784335</v>
      </c>
      <c r="BP151" s="9"/>
    </row>
    <row r="152" spans="1:68" x14ac:dyDescent="0.2">
      <c r="A152" s="9"/>
      <c r="B152" s="3">
        <v>2013</v>
      </c>
      <c r="C152" s="51" t="s">
        <v>47</v>
      </c>
      <c r="D152" s="26" t="s">
        <v>19</v>
      </c>
      <c r="E152" s="72">
        <f>(T152-W152)/(R152-W152-Z152+AD152)</f>
        <v>0.32814005782203665</v>
      </c>
      <c r="F152" s="72">
        <f>AA152/Q152</f>
        <v>0.37358382331851425</v>
      </c>
      <c r="G152" s="72">
        <f>(U152+V152+W152)/T152</f>
        <v>0.18964683115626513</v>
      </c>
      <c r="H152" s="72">
        <f>(AA152+X152)/Q152</f>
        <v>0.51527319661551696</v>
      </c>
      <c r="I152" s="72">
        <f>(AA152/R152)+((T152+Y152+AB152)/(R152+Y152+AB152+AD152))</f>
        <v>0.76115059490359038</v>
      </c>
      <c r="J152" s="72">
        <f>W152/AA152</f>
        <v>9.2130518234165067E-3</v>
      </c>
      <c r="K152" s="72">
        <f>(AC152+AD152)/AA152</f>
        <v>7.5623800383877157E-2</v>
      </c>
      <c r="L152" s="72">
        <f>Z152/Q152</f>
        <v>3.1693675605908501E-2</v>
      </c>
      <c r="M152" s="72">
        <f>(Y152+AB152)/Q152</f>
        <v>5.1484296572493905E-2</v>
      </c>
      <c r="N152" s="58">
        <f>(E152*0.7635+F152*0.7562+G152*0.75+H152*0.7248+I152*0.7021+J152*0.6285+1-K152*0.5884+1-L152*0.5276+M152*0.3663)/6.931</f>
        <v>0.51169794601161345</v>
      </c>
      <c r="O152" s="65">
        <f>N152/0.4761*100</f>
        <v>107.47698929040399</v>
      </c>
      <c r="P152" s="155">
        <f>(O152-100)/100*Q152*0.3389</f>
        <v>176.69244998521404</v>
      </c>
      <c r="Q152" s="54">
        <v>6973</v>
      </c>
      <c r="R152" s="21">
        <f>Q152-Y152-AB152-AC152-AD152</f>
        <v>6417</v>
      </c>
      <c r="S152" s="19" t="s">
        <v>19</v>
      </c>
      <c r="T152" s="19">
        <v>2067</v>
      </c>
      <c r="U152" s="19">
        <v>270</v>
      </c>
      <c r="V152" s="19">
        <v>98</v>
      </c>
      <c r="W152" s="19">
        <v>24</v>
      </c>
      <c r="X152" s="19">
        <v>988</v>
      </c>
      <c r="Y152" s="54">
        <v>308</v>
      </c>
      <c r="Z152" s="19">
        <v>221</v>
      </c>
      <c r="AA152" s="54">
        <f>T152+U152+V152*2+W152*3</f>
        <v>2605</v>
      </c>
      <c r="AB152" s="21">
        <v>51</v>
      </c>
      <c r="AC152" s="21">
        <v>143</v>
      </c>
      <c r="AD152" s="21">
        <v>54</v>
      </c>
      <c r="AE152" s="9"/>
      <c r="AF152" s="37"/>
      <c r="AG152" s="37"/>
      <c r="AH152" s="88"/>
      <c r="AI152" s="37"/>
      <c r="AJ152" s="37"/>
      <c r="AK152" s="38"/>
      <c r="AL152" s="37"/>
      <c r="AM152" s="38"/>
      <c r="BB152" s="9"/>
      <c r="BC152" s="150" t="s">
        <v>138</v>
      </c>
      <c r="BD152" s="151">
        <v>0.30302467990350712</v>
      </c>
      <c r="BE152" s="151">
        <v>0.39449266686620771</v>
      </c>
      <c r="BF152" s="151">
        <v>0.2895927601809955</v>
      </c>
      <c r="BG152" s="151">
        <v>0.5335228973361269</v>
      </c>
      <c r="BH152" s="151">
        <v>0.77306691769721603</v>
      </c>
      <c r="BI152" s="151">
        <v>5.1213960546282244E-2</v>
      </c>
      <c r="BJ152" s="151">
        <v>8.4977238239757211E-2</v>
      </c>
      <c r="BK152" s="151">
        <v>8.4555522298712965E-2</v>
      </c>
      <c r="BL152" s="151">
        <v>6.3154744088596226E-2</v>
      </c>
      <c r="BM152" s="151">
        <v>0.52475059922791201</v>
      </c>
      <c r="BN152" s="165">
        <v>103.52152283052121</v>
      </c>
      <c r="BO152" s="168">
        <v>79.745933910956211</v>
      </c>
      <c r="BP152" s="9"/>
    </row>
    <row r="153" spans="1:68" x14ac:dyDescent="0.2">
      <c r="A153" s="9"/>
      <c r="B153" s="3">
        <v>1937</v>
      </c>
      <c r="C153" s="106" t="s">
        <v>271</v>
      </c>
      <c r="D153" s="98">
        <v>0.76100000000000001</v>
      </c>
      <c r="E153" s="99">
        <f>(T153-W153)/(R153-W153-Z153+AD153)</f>
        <v>0.28329327412718458</v>
      </c>
      <c r="F153" s="99">
        <f>AA153/Q153</f>
        <v>0.31408760358532051</v>
      </c>
      <c r="G153" s="99">
        <f>(U153+V153+W153)/T153</f>
        <v>0.21291596164692611</v>
      </c>
      <c r="H153" s="99">
        <f>(AA153+S153)/Q153</f>
        <v>0.42120750887874175</v>
      </c>
      <c r="I153" s="99">
        <f>(AA153/R153)+((T153+Y153+AB153)/(R153+Y153+AB153+AD153))</f>
        <v>0.63419543261269884</v>
      </c>
      <c r="J153" s="99">
        <f>W153/AA153</f>
        <v>1.4861081197501616E-2</v>
      </c>
      <c r="K153" s="99">
        <f>(AC153+AD153)/AA153</f>
        <v>0.10090458755115227</v>
      </c>
      <c r="L153" s="99">
        <f>Z153/Q153</f>
        <v>9.4808050059191615E-2</v>
      </c>
      <c r="M153" s="99">
        <f>(Y153+AB153)/Q153</f>
        <v>4.6609166243869439E-2</v>
      </c>
      <c r="N153" s="100">
        <f>(1-E153*0.7635+1-F153*0.7562+1-G153*0.75+1-H153*0.7248+1-I153*0.7021+1-J153*0.6285+K153*0.5884+L153*0.5276+1-M153*0.3663)/11.068</f>
        <v>0.51670813262227699</v>
      </c>
      <c r="O153" s="101">
        <f>N153/0.5121*100</f>
        <v>100.89985015080589</v>
      </c>
      <c r="P153" s="102">
        <f>(O153-100)/100*Q153*0.6611</f>
        <v>175.87950484339675</v>
      </c>
      <c r="Q153" s="54">
        <v>29565</v>
      </c>
      <c r="R153" s="21">
        <f>Q153-Y153-AB153-AC153-AD153</f>
        <v>27250</v>
      </c>
      <c r="S153" s="19">
        <v>3167</v>
      </c>
      <c r="T153" s="19">
        <v>7092</v>
      </c>
      <c r="U153" s="21">
        <v>964</v>
      </c>
      <c r="V153" s="21">
        <v>408</v>
      </c>
      <c r="W153" s="19">
        <v>138</v>
      </c>
      <c r="X153" s="19" t="s">
        <v>19</v>
      </c>
      <c r="Y153" s="54">
        <v>1217</v>
      </c>
      <c r="Z153" s="19">
        <v>2803</v>
      </c>
      <c r="AA153" s="21">
        <f>T153+U153+V153*2+W153*3</f>
        <v>9286</v>
      </c>
      <c r="AB153" s="19">
        <v>161</v>
      </c>
      <c r="AC153" s="21">
        <v>699</v>
      </c>
      <c r="AD153" s="21">
        <v>238</v>
      </c>
      <c r="AE153" s="9"/>
      <c r="AF153" s="37"/>
      <c r="AG153" s="37"/>
      <c r="AH153" s="97"/>
      <c r="AI153" s="37"/>
      <c r="AJ153" s="37"/>
      <c r="AK153" s="38"/>
      <c r="AL153" s="37"/>
      <c r="AM153" s="38"/>
      <c r="BB153" s="9"/>
      <c r="BC153" s="150" t="s">
        <v>85</v>
      </c>
      <c r="BD153" s="151">
        <v>0.28503102378490175</v>
      </c>
      <c r="BE153" s="151">
        <v>0.32856082299289424</v>
      </c>
      <c r="BF153" s="151">
        <v>0.24136403897254208</v>
      </c>
      <c r="BG153" s="151">
        <v>0.44225262488068723</v>
      </c>
      <c r="BH153" s="151">
        <v>0.74363900183133791</v>
      </c>
      <c r="BI153" s="151">
        <v>1.7107811491284701E-2</v>
      </c>
      <c r="BJ153" s="151">
        <v>8.4570690768237575E-2</v>
      </c>
      <c r="BK153" s="151">
        <v>3.9983031074345109E-2</v>
      </c>
      <c r="BL153" s="151">
        <v>0.11411602502916535</v>
      </c>
      <c r="BM153" s="151">
        <v>0.50085876118645367</v>
      </c>
      <c r="BN153" s="165">
        <v>102.46701333601753</v>
      </c>
      <c r="BO153" s="168">
        <v>78.833117577853173</v>
      </c>
      <c r="BP153" s="9"/>
    </row>
    <row r="154" spans="1:68" x14ac:dyDescent="0.2">
      <c r="A154" s="9"/>
      <c r="B154" s="3">
        <v>1946</v>
      </c>
      <c r="C154" s="106" t="s">
        <v>250</v>
      </c>
      <c r="D154" s="98" t="s">
        <v>19</v>
      </c>
      <c r="E154" s="99">
        <f>(T154-W154)/(R154-W154-Z154+AD154)</f>
        <v>0.26899027327466418</v>
      </c>
      <c r="F154" s="99">
        <f>AA154/Q154</f>
        <v>0.26772412584348437</v>
      </c>
      <c r="G154" s="99">
        <f>(U154+V154+W154)/T154</f>
        <v>0.22250639386189258</v>
      </c>
      <c r="H154" s="99">
        <f>(AA154+S154)/Q154</f>
        <v>0.34422925247568137</v>
      </c>
      <c r="I154" s="99">
        <f>(AA154/R154)+((T154+Y154+AB154)/(R154+Y154+AB154+AD154))</f>
        <v>0.56902100098048647</v>
      </c>
      <c r="J154" s="130">
        <f>W154/AA154</f>
        <v>7.5286415711947625E-3</v>
      </c>
      <c r="K154" s="130">
        <f>(AC154+AD154)/AA154</f>
        <v>0.14369885433715221</v>
      </c>
      <c r="L154" s="99">
        <f>Z154/Q154</f>
        <v>0.15213390588029094</v>
      </c>
      <c r="M154" s="99">
        <f>(Y154+AB154)/Q154</f>
        <v>5.8627639996494611E-2</v>
      </c>
      <c r="N154" s="236">
        <f>(1-E154*0.7635+1-F154*0.7562+1-G154*0.75+1-H154*0.7248+1-I154*0.7021+1-J154*0.6285+K154*0.5884+L154*0.5276+1-M154*0.3663)/11.068</f>
        <v>0.53441428793720347</v>
      </c>
      <c r="O154" s="101">
        <f>N154/0.5223*100</f>
        <v>102.31941182025723</v>
      </c>
      <c r="P154" s="102">
        <f>(O154-100)/100*Q154*0.6611</f>
        <v>174.97206954539519</v>
      </c>
      <c r="Q154" s="54">
        <v>11411</v>
      </c>
      <c r="R154" s="21">
        <f>Q154-Y154-AB154-AC154-AD154</f>
        <v>10303</v>
      </c>
      <c r="S154" s="19">
        <v>873</v>
      </c>
      <c r="T154" s="19">
        <v>2346</v>
      </c>
      <c r="U154" s="21">
        <v>358</v>
      </c>
      <c r="V154" s="21">
        <v>141</v>
      </c>
      <c r="W154" s="19">
        <v>23</v>
      </c>
      <c r="X154" s="19" t="s">
        <v>19</v>
      </c>
      <c r="Y154" s="54">
        <v>617</v>
      </c>
      <c r="Z154" s="19">
        <v>1736</v>
      </c>
      <c r="AA154" s="21">
        <f>T154+U154+V154*2+W154*3</f>
        <v>3055</v>
      </c>
      <c r="AB154" s="19">
        <v>52</v>
      </c>
      <c r="AC154" s="21">
        <v>347</v>
      </c>
      <c r="AD154" s="21">
        <v>92</v>
      </c>
      <c r="AE154" s="9"/>
      <c r="AF154" s="37"/>
      <c r="AG154" s="37"/>
      <c r="AH154" s="37"/>
      <c r="AI154" s="37"/>
      <c r="AJ154" s="37"/>
      <c r="AK154" s="38"/>
      <c r="AL154" s="37"/>
      <c r="AM154" s="38"/>
      <c r="BB154" s="9"/>
      <c r="BC154" s="150" t="s">
        <v>63</v>
      </c>
      <c r="BD154" s="153">
        <v>0.3946524064171123</v>
      </c>
      <c r="BE154" s="151">
        <v>0.48450946643717729</v>
      </c>
      <c r="BF154" s="151">
        <v>0.29639175257731959</v>
      </c>
      <c r="BG154" s="151">
        <v>0.66006884681583478</v>
      </c>
      <c r="BH154" s="151">
        <v>0.96381151028265677</v>
      </c>
      <c r="BI154" s="151">
        <v>3.3747779751332148E-2</v>
      </c>
      <c r="BJ154" s="151">
        <v>5.6838365896980464E-2</v>
      </c>
      <c r="BK154" s="151">
        <v>8.0034423407917388E-2</v>
      </c>
      <c r="BL154" s="151">
        <v>7.9173838209982791E-2</v>
      </c>
      <c r="BM154" s="151">
        <v>0.57995223589958844</v>
      </c>
      <c r="BN154" s="165">
        <v>119.82484212801414</v>
      </c>
      <c r="BO154" s="168">
        <v>78.070585147277981</v>
      </c>
      <c r="BP154" s="9"/>
    </row>
    <row r="155" spans="1:68" x14ac:dyDescent="0.2">
      <c r="A155" s="9"/>
      <c r="B155" s="3">
        <v>1961</v>
      </c>
      <c r="C155" s="51" t="s">
        <v>211</v>
      </c>
      <c r="D155" s="26" t="s">
        <v>19</v>
      </c>
      <c r="E155" s="72">
        <f>(T155-W155)/(R155-W155-Z155+AD155)</f>
        <v>0.3674740484429066</v>
      </c>
      <c r="F155" s="72">
        <f>AA155/Q155</f>
        <v>0.35694572217111314</v>
      </c>
      <c r="G155" s="72">
        <f>(U155+V155+W155)/T155</f>
        <v>0.17421441774491683</v>
      </c>
      <c r="H155" s="72">
        <f>(AA155+X155)/Q155</f>
        <v>0.45446182152713893</v>
      </c>
      <c r="I155" s="72">
        <f>(AA155/R155)+((T155+Y155+AB155)/(R155+Y155+AB155+AD155))</f>
        <v>0.90503996924028229</v>
      </c>
      <c r="J155" s="72">
        <f>W155/AA155</f>
        <v>1.4727540500736377E-2</v>
      </c>
      <c r="K155" s="72">
        <f>(AC155+AD155)/AA155</f>
        <v>7.6951399116347574E-2</v>
      </c>
      <c r="L155" s="72">
        <f>Z155/Q155</f>
        <v>4.7575239847548953E-2</v>
      </c>
      <c r="M155" s="72">
        <f>(Y155+AB155)/Q155</f>
        <v>0.16795899592587726</v>
      </c>
      <c r="N155" s="58">
        <f>(E155*0.7635+F155*0.7562+G155*0.75+H155*0.7248+I155*0.7021+J155*0.6285+1-K155*0.5884+1-L155*0.5276+M155*0.3663)/6.931</f>
        <v>0.5260962104567668</v>
      </c>
      <c r="O155" s="65">
        <f>N155/0.4928*100</f>
        <v>106.75653621281793</v>
      </c>
      <c r="P155" s="155">
        <f>(O155-100)/100*Q155*0.3389</f>
        <v>174.230130422851</v>
      </c>
      <c r="Q155" s="54">
        <v>7609</v>
      </c>
      <c r="R155" s="21">
        <f>Q155-Y155-AB155-AC155-AD155</f>
        <v>6122</v>
      </c>
      <c r="S155" s="20" t="s">
        <v>19</v>
      </c>
      <c r="T155" s="19">
        <v>2164</v>
      </c>
      <c r="U155" s="19">
        <v>242</v>
      </c>
      <c r="V155" s="19">
        <v>95</v>
      </c>
      <c r="W155" s="19">
        <v>40</v>
      </c>
      <c r="X155" s="19">
        <v>742</v>
      </c>
      <c r="Y155" s="54">
        <v>1189</v>
      </c>
      <c r="Z155" s="19">
        <v>362</v>
      </c>
      <c r="AA155" s="54">
        <f>T155+U155+V155*2+W155*3</f>
        <v>2716</v>
      </c>
      <c r="AB155" s="19">
        <v>89</v>
      </c>
      <c r="AC155" s="21">
        <v>149</v>
      </c>
      <c r="AD155" s="21">
        <v>60</v>
      </c>
      <c r="AE155" s="9"/>
      <c r="AF155" s="37"/>
      <c r="AG155" s="37"/>
      <c r="AH155" s="37"/>
      <c r="AI155" s="37"/>
      <c r="AJ155" s="37"/>
      <c r="AK155" s="38"/>
      <c r="AL155" s="37"/>
      <c r="AM155" s="38"/>
      <c r="BB155" s="9"/>
      <c r="BC155" s="150" t="s">
        <v>149</v>
      </c>
      <c r="BD155" s="151">
        <v>0.30163934426229511</v>
      </c>
      <c r="BE155" s="151">
        <v>0.45670731707317075</v>
      </c>
      <c r="BF155" s="151">
        <v>0.36238532110091742</v>
      </c>
      <c r="BG155" s="151">
        <v>0.64512195121951221</v>
      </c>
      <c r="BH155" s="151">
        <v>0.92941756272401443</v>
      </c>
      <c r="BI155" s="151">
        <v>9.0787716955941261E-2</v>
      </c>
      <c r="BJ155" s="151">
        <v>7.0761014686248333E-2</v>
      </c>
      <c r="BK155" s="151">
        <v>7.3170731707317069E-2</v>
      </c>
      <c r="BL155" s="151">
        <v>0.11707317073170732</v>
      </c>
      <c r="BM155" s="151">
        <v>0.57528271358083671</v>
      </c>
      <c r="BN155" s="165">
        <v>113.44561498340302</v>
      </c>
      <c r="BO155" s="168">
        <v>74.730190253154632</v>
      </c>
      <c r="BP155" s="9"/>
    </row>
    <row r="156" spans="1:68" x14ac:dyDescent="0.2">
      <c r="A156" s="9"/>
      <c r="B156" s="3">
        <v>1947</v>
      </c>
      <c r="C156" s="51" t="s">
        <v>239</v>
      </c>
      <c r="D156" s="26">
        <v>0.79500000000000004</v>
      </c>
      <c r="E156" s="72">
        <f>(T156-W156)/(R156-W156-Z156+AD156)</f>
        <v>0.31686647374948324</v>
      </c>
      <c r="F156" s="72">
        <f>AA156/Q156</f>
        <v>0.39768153276445017</v>
      </c>
      <c r="G156" s="72">
        <f>(U156+V156+W156)/T156</f>
        <v>0.31234866828087166</v>
      </c>
      <c r="H156" s="72">
        <f>(AA156+X156)/Q156</f>
        <v>0.53131540814683631</v>
      </c>
      <c r="I156" s="72">
        <f>(AA156/R156)+((T156+Y156+AB156)/(R156+Y156+AB156+AD156))</f>
        <v>0.90066907978351485</v>
      </c>
      <c r="J156" s="72">
        <f>W156/AA156</f>
        <v>4.8178137651821863E-2</v>
      </c>
      <c r="K156" s="72">
        <f>(AC156+AD156)/AA156</f>
        <v>8.0566801619433193E-2</v>
      </c>
      <c r="L156" s="72">
        <f>Z156/Q156</f>
        <v>3.4938013202382871E-2</v>
      </c>
      <c r="M156" s="72">
        <f>(Y156+AB156)/Q156</f>
        <v>0.14265013685396877</v>
      </c>
      <c r="N156" s="58">
        <f>(E156*0.7635+F156*0.7562+G156*0.75+H156*0.7248+I156*0.7021+J156*0.6285+1-K156*0.5884+1-L156*0.5276+M156*0.3663)/6.931</f>
        <v>0.54985815907387403</v>
      </c>
      <c r="O156" s="159">
        <f>N156/0.5083*100</f>
        <v>108.17591168087233</v>
      </c>
      <c r="P156" s="155">
        <f>(O156-100)/100*Q156*0.3389</f>
        <v>172.09541086770449</v>
      </c>
      <c r="Q156" s="54">
        <v>6211</v>
      </c>
      <c r="R156" s="21">
        <f>Q156-Y156-AB156-AC156-AD156</f>
        <v>5126</v>
      </c>
      <c r="S156" s="19" t="s">
        <v>19</v>
      </c>
      <c r="T156" s="19">
        <v>1652</v>
      </c>
      <c r="U156" s="19">
        <v>333</v>
      </c>
      <c r="V156" s="19">
        <v>64</v>
      </c>
      <c r="W156" s="19">
        <v>119</v>
      </c>
      <c r="X156" s="19">
        <v>830</v>
      </c>
      <c r="Y156" s="54">
        <v>857</v>
      </c>
      <c r="Z156" s="19">
        <v>217</v>
      </c>
      <c r="AA156" s="54">
        <f>T156+U156+V156*2+W156*3</f>
        <v>2470</v>
      </c>
      <c r="AB156" s="19">
        <v>29</v>
      </c>
      <c r="AC156" s="19">
        <v>151</v>
      </c>
      <c r="AD156" s="21">
        <v>48</v>
      </c>
      <c r="AE156" s="9"/>
      <c r="AF156" s="37"/>
      <c r="AG156" s="37"/>
      <c r="AH156" s="37"/>
      <c r="AI156" s="37"/>
      <c r="AJ156" s="37"/>
      <c r="AK156" s="38"/>
      <c r="AL156" s="37"/>
      <c r="AM156" s="38"/>
      <c r="BB156" s="9"/>
      <c r="BC156" s="150" t="s">
        <v>159</v>
      </c>
      <c r="BD156" s="151">
        <v>0.31775442477876104</v>
      </c>
      <c r="BE156" s="151">
        <v>0.36292095822242798</v>
      </c>
      <c r="BF156" s="151">
        <v>0.26226012793176973</v>
      </c>
      <c r="BG156" s="151">
        <v>0.46001620182849207</v>
      </c>
      <c r="BH156" s="151">
        <v>0.77741335294881231</v>
      </c>
      <c r="BI156" s="151">
        <v>1.4987244897959183E-2</v>
      </c>
      <c r="BJ156" s="151">
        <v>7.5892857142857137E-2</v>
      </c>
      <c r="BK156" s="151">
        <v>4.9531304247193611E-2</v>
      </c>
      <c r="BL156" s="151">
        <v>8.8299965281796094E-2</v>
      </c>
      <c r="BM156" s="151">
        <v>0.51420556535900686</v>
      </c>
      <c r="BN156" s="165">
        <v>102.51307124382114</v>
      </c>
      <c r="BO156" s="168">
        <v>73.593655365922487</v>
      </c>
      <c r="BP156" s="9"/>
    </row>
    <row r="157" spans="1:68" x14ac:dyDescent="0.2">
      <c r="A157" s="9"/>
      <c r="B157" s="3">
        <v>2005</v>
      </c>
      <c r="C157" s="51" t="s">
        <v>73</v>
      </c>
      <c r="D157" s="26">
        <v>0.76200000000000001</v>
      </c>
      <c r="E157" s="72">
        <f>(T157-W157)/(R157-W157-Z157+AD157)</f>
        <v>0.30431009545849003</v>
      </c>
      <c r="F157" s="72">
        <f>AA157/Q157</f>
        <v>0.40799396681749622</v>
      </c>
      <c r="G157" s="72">
        <f>(U157+V157+W157)/T157</f>
        <v>0.31894383906119028</v>
      </c>
      <c r="H157" s="72">
        <f>(AA157+X157)/Q157</f>
        <v>0.52230122818358116</v>
      </c>
      <c r="I157" s="72">
        <f>(AA157/R157)+((T157+Y157+AB157)/(R157+Y157+AB157+AD157))</f>
        <v>0.7954945514440025</v>
      </c>
      <c r="J157" s="72">
        <f>W157/AA157</f>
        <v>7.4465275944019013E-2</v>
      </c>
      <c r="K157" s="72">
        <f>(AC157+AD157)/AA157</f>
        <v>2.6934248745709006E-2</v>
      </c>
      <c r="L157" s="72">
        <f>Z157/Q157</f>
        <v>0.13574660633484162</v>
      </c>
      <c r="M157" s="72">
        <f>(Y157+AB157)/Q157</f>
        <v>8.5649644473173886E-2</v>
      </c>
      <c r="N157" s="58">
        <f>(E157*0.7635+F157*0.7562+G157*0.75+H157*0.7248+I157*0.7021+J157*0.6285+1-K157*0.5884+1-L157*0.5276+M157*0.3663)/6.931</f>
        <v>0.53496771012541278</v>
      </c>
      <c r="O157" s="65">
        <f>N157/0.5076*100</f>
        <v>105.39158985922236</v>
      </c>
      <c r="P157" s="155">
        <f>(O157-100)/100*Q157*0.3389</f>
        <v>169.60161394142042</v>
      </c>
      <c r="Q157" s="54">
        <v>9282</v>
      </c>
      <c r="R157" s="54">
        <f>Q157-Y157-AB157-AC157-AD157</f>
        <v>8385</v>
      </c>
      <c r="S157" s="20" t="s">
        <v>19</v>
      </c>
      <c r="T157" s="19">
        <v>2386</v>
      </c>
      <c r="U157" s="19">
        <v>403</v>
      </c>
      <c r="V157" s="19">
        <v>76</v>
      </c>
      <c r="W157" s="19">
        <v>282</v>
      </c>
      <c r="X157" s="19">
        <v>1061</v>
      </c>
      <c r="Y157" s="54">
        <v>761</v>
      </c>
      <c r="Z157" s="19">
        <v>1260</v>
      </c>
      <c r="AA157" s="54">
        <f>T157+U157+V157*2+W157*3</f>
        <v>3787</v>
      </c>
      <c r="AB157" s="19">
        <v>34</v>
      </c>
      <c r="AC157" s="19">
        <v>31</v>
      </c>
      <c r="AD157" s="19">
        <v>71</v>
      </c>
      <c r="AE157" s="9"/>
      <c r="AF157" s="37"/>
      <c r="AG157" s="37"/>
      <c r="AH157" s="37"/>
      <c r="AI157" s="37"/>
      <c r="AJ157" s="37"/>
      <c r="AK157" s="134"/>
      <c r="AL157" s="37"/>
      <c r="AM157" s="38"/>
      <c r="BB157" s="9"/>
      <c r="BC157" s="150" t="s">
        <v>152</v>
      </c>
      <c r="BD157" s="151">
        <v>0.31220421626272765</v>
      </c>
      <c r="BE157" s="151">
        <v>0.35341413656546261</v>
      </c>
      <c r="BF157" s="151">
        <v>0.24842767295597484</v>
      </c>
      <c r="BG157" s="151">
        <v>0.4798991959678387</v>
      </c>
      <c r="BH157" s="151">
        <v>0.807157547744908</v>
      </c>
      <c r="BI157" s="151">
        <v>1.6638370118845502E-2</v>
      </c>
      <c r="BJ157" s="151">
        <v>0.11544991511035653</v>
      </c>
      <c r="BK157" s="153">
        <v>1.3680547221888875E-2</v>
      </c>
      <c r="BL157" s="151">
        <v>0.11064442577703108</v>
      </c>
      <c r="BM157" s="151">
        <v>0.51685389949937743</v>
      </c>
      <c r="BN157" s="165">
        <v>102.50969843303797</v>
      </c>
      <c r="BO157" s="168">
        <v>70.875231457050774</v>
      </c>
      <c r="BP157" s="9"/>
    </row>
    <row r="158" spans="1:68" x14ac:dyDescent="0.2">
      <c r="A158" s="9"/>
      <c r="B158" s="3">
        <v>1983</v>
      </c>
      <c r="C158" s="106" t="s">
        <v>134</v>
      </c>
      <c r="D158" s="98">
        <v>0.83699999999999997</v>
      </c>
      <c r="E158" s="99">
        <f>(T158-W158)/(R158-W158-Z158+AD158)</f>
        <v>0.26378026070763499</v>
      </c>
      <c r="F158" s="99">
        <f>AA158/Q158</f>
        <v>0.32654351338062793</v>
      </c>
      <c r="G158" s="99">
        <f>(U158+V158+W158)/T158</f>
        <v>0.24928639391056137</v>
      </c>
      <c r="H158" s="99">
        <f>(AA158+S158)/Q158</f>
        <v>0.41989183114420175</v>
      </c>
      <c r="I158" s="99">
        <f>(AA158/R158)+((T158+Y158+AB158)/(R158+Y158+AB158+AD158))</f>
        <v>0.62610371139983545</v>
      </c>
      <c r="J158" s="99">
        <f>W158/AA158</f>
        <v>6.8832006883200694E-2</v>
      </c>
      <c r="K158" s="99">
        <f>(AC158+AD158)/AA158</f>
        <v>4.0869004086900411E-2</v>
      </c>
      <c r="L158" s="99">
        <f>Z158/Q158</f>
        <v>0.16176160708014328</v>
      </c>
      <c r="M158" s="99">
        <f>(Y158+AB158)/Q158</f>
        <v>5.2609398047341431E-2</v>
      </c>
      <c r="N158" s="100">
        <f>(1-E158*0.7635+1-F158*0.7562+1-G158*0.75+1-H158*0.7248+1-I158*0.7021+1-J158*0.6285+K158*0.5884+L158*0.5276+1-M158*0.3663)/11.068</f>
        <v>0.51207469848035869</v>
      </c>
      <c r="O158" s="101">
        <f>N158/0.5033*100</f>
        <v>101.7434330380208</v>
      </c>
      <c r="P158" s="102">
        <f>(O158-100)/100*Q158*0.6611</f>
        <v>164.09332448897908</v>
      </c>
      <c r="Q158" s="54">
        <v>14237</v>
      </c>
      <c r="R158" s="54">
        <f>Q158-Y158-AB158-AC158-AD158</f>
        <v>13298</v>
      </c>
      <c r="S158" s="19">
        <v>1329</v>
      </c>
      <c r="T158" s="19">
        <v>3153</v>
      </c>
      <c r="U158" s="19">
        <v>396</v>
      </c>
      <c r="V158" s="19">
        <v>70</v>
      </c>
      <c r="W158" s="19">
        <v>320</v>
      </c>
      <c r="X158" s="19" t="s">
        <v>19</v>
      </c>
      <c r="Y158" s="54">
        <v>709</v>
      </c>
      <c r="Z158" s="19">
        <v>2303</v>
      </c>
      <c r="AA158" s="54">
        <f>T158+U158+V158*2+W158*3</f>
        <v>4649</v>
      </c>
      <c r="AB158" s="19">
        <v>40</v>
      </c>
      <c r="AC158" s="19">
        <v>125</v>
      </c>
      <c r="AD158" s="19">
        <v>65</v>
      </c>
      <c r="AE158" s="9"/>
      <c r="AF158" s="37"/>
      <c r="AG158" s="37"/>
      <c r="AH158" s="37"/>
      <c r="AI158" s="37"/>
      <c r="AJ158" s="37"/>
      <c r="AK158" s="38"/>
      <c r="AL158" s="37"/>
      <c r="AM158" s="38"/>
      <c r="BB158" s="9"/>
      <c r="BC158" s="150" t="s">
        <v>69</v>
      </c>
      <c r="BD158" s="151">
        <v>0.3631151457238414</v>
      </c>
      <c r="BE158" s="151">
        <v>0.40798479087452472</v>
      </c>
      <c r="BF158" s="151">
        <v>0.25190839694656486</v>
      </c>
      <c r="BG158" s="151">
        <v>0.57870722433460076</v>
      </c>
      <c r="BH158" s="151">
        <v>0.86264082301386624</v>
      </c>
      <c r="BI158" s="151">
        <v>2.4231127679403542E-2</v>
      </c>
      <c r="BJ158" s="151">
        <v>8.2945013979496732E-2</v>
      </c>
      <c r="BK158" s="151">
        <v>7.9847908745247151E-2</v>
      </c>
      <c r="BL158" s="151">
        <v>8.8593155893536127E-2</v>
      </c>
      <c r="BM158" s="151">
        <v>0.54199152535506057</v>
      </c>
      <c r="BN158" s="165">
        <v>107.83754981198976</v>
      </c>
      <c r="BO158" s="168">
        <v>69.856630102751552</v>
      </c>
      <c r="BP158" s="9"/>
    </row>
    <row r="159" spans="1:68" x14ac:dyDescent="0.2">
      <c r="A159" s="9"/>
      <c r="B159" s="3">
        <v>1972</v>
      </c>
      <c r="C159" s="106" t="s">
        <v>174</v>
      </c>
      <c r="D159" s="98" t="s">
        <v>19</v>
      </c>
      <c r="E159" s="99">
        <f>(T159-W159)/(R159-W159-Z159+AD159)</f>
        <v>0.27383987761346251</v>
      </c>
      <c r="F159" s="99">
        <f>AA159/Q159</f>
        <v>0.30482784431137727</v>
      </c>
      <c r="G159" s="99">
        <f>(U159+V159+W159)/T159</f>
        <v>0.26202974628171477</v>
      </c>
      <c r="H159" s="99">
        <f>(AA159+S159)/Q159</f>
        <v>0.40653068862275449</v>
      </c>
      <c r="I159" s="99">
        <f>(AA159/R159)+((T159+Y159+AB159)/(R159+Y159+AB159+AD159))</f>
        <v>0.66934346339403161</v>
      </c>
      <c r="J159" s="99">
        <f>W159/AA159</f>
        <v>4.2357274401473299E-2</v>
      </c>
      <c r="K159" s="99">
        <f>(AC159+AD159)/AA159</f>
        <v>6.5070595457335789E-2</v>
      </c>
      <c r="L159" s="99">
        <f>Z159/Q159</f>
        <v>0.13735029940119761</v>
      </c>
      <c r="M159" s="99">
        <f>(Y159+AB159)/Q159</f>
        <v>0.10376122754491018</v>
      </c>
      <c r="N159" s="100">
        <f>(1-E159*0.7635+1-F159*0.7562+1-G159*0.75+1-H159*0.7248+1-I159*0.7021+1-J159*0.6285+K159*0.5884+L159*0.5276+1-M159*0.3663)/11.068</f>
        <v>0.5100663996042637</v>
      </c>
      <c r="O159" s="101">
        <f>N159/0.4985*100</f>
        <v>102.32024064278109</v>
      </c>
      <c r="P159" s="102">
        <f>(O159-100)/100*Q159*0.6611</f>
        <v>163.94441718618262</v>
      </c>
      <c r="Q159" s="54">
        <v>10688</v>
      </c>
      <c r="R159" s="21">
        <f>Q159-Y159-AB159-AC159-AD159</f>
        <v>9367</v>
      </c>
      <c r="S159" s="19">
        <v>1087</v>
      </c>
      <c r="T159" s="19">
        <v>2286</v>
      </c>
      <c r="U159" s="19">
        <v>364</v>
      </c>
      <c r="V159" s="19">
        <v>97</v>
      </c>
      <c r="W159" s="19">
        <v>138</v>
      </c>
      <c r="X159" s="19" t="s">
        <v>19</v>
      </c>
      <c r="Y159" s="54">
        <v>1090</v>
      </c>
      <c r="Z159" s="19">
        <v>1468</v>
      </c>
      <c r="AA159" s="54">
        <f>T159+U159+V159*2+W159*3</f>
        <v>3258</v>
      </c>
      <c r="AB159" s="19">
        <v>19</v>
      </c>
      <c r="AC159" s="19">
        <v>129</v>
      </c>
      <c r="AD159" s="21">
        <v>83</v>
      </c>
      <c r="AE159" s="9"/>
      <c r="AF159" s="37"/>
      <c r="AG159" s="37"/>
      <c r="AH159" s="37"/>
      <c r="AI159" s="37"/>
      <c r="AJ159" s="37"/>
      <c r="AK159" s="38"/>
      <c r="AL159" s="37"/>
      <c r="AM159" s="38"/>
      <c r="BB159" s="9"/>
      <c r="BC159" s="150" t="s">
        <v>20</v>
      </c>
      <c r="BD159" s="151">
        <v>0.35015841800502567</v>
      </c>
      <c r="BE159" s="151">
        <v>0.39049357244881766</v>
      </c>
      <c r="BF159" s="151">
        <v>0.25108225108225107</v>
      </c>
      <c r="BG159" s="151">
        <v>0.49452467862244087</v>
      </c>
      <c r="BH159" s="151">
        <v>0.81678035351290479</v>
      </c>
      <c r="BI159" s="151">
        <v>5.2834789676894943E-2</v>
      </c>
      <c r="BJ159" s="151">
        <v>3.1497663076610442E-2</v>
      </c>
      <c r="BK159" s="151">
        <v>0.14600857006824314</v>
      </c>
      <c r="BL159" s="151">
        <v>9.934930963339153E-2</v>
      </c>
      <c r="BM159" s="151">
        <v>0.52761114184383695</v>
      </c>
      <c r="BN159" s="165">
        <v>101.60045096164778</v>
      </c>
      <c r="BO159" s="168">
        <v>68.352344550324574</v>
      </c>
      <c r="BP159" s="9"/>
    </row>
    <row r="160" spans="1:68" x14ac:dyDescent="0.2">
      <c r="A160" s="9"/>
      <c r="B160" s="3">
        <v>1984</v>
      </c>
      <c r="C160" s="106" t="s">
        <v>130</v>
      </c>
      <c r="D160" s="98">
        <v>0.78400000000000003</v>
      </c>
      <c r="E160" s="99">
        <f>(T160-W160)/(R160-W160-Z160+AD160)</f>
        <v>0.27459819678557429</v>
      </c>
      <c r="F160" s="99">
        <f>AA160/Q160</f>
        <v>0.32269277151166914</v>
      </c>
      <c r="G160" s="99">
        <f>(U160+V160+W160)/T160</f>
        <v>0.26815823605706873</v>
      </c>
      <c r="H160" s="99">
        <f>(AA160+S160)/Q160</f>
        <v>0.41434347733560334</v>
      </c>
      <c r="I160" s="99">
        <f>(AA160/R160)+((T160+Y160+AB160)/(R160+Y160+AB160+AD160))</f>
        <v>0.64522617105171609</v>
      </c>
      <c r="J160" s="99">
        <f>W160/AA160</f>
        <v>6.1991646515717737E-2</v>
      </c>
      <c r="K160" s="99">
        <f>(AC160+AD160)/AA160</f>
        <v>4.0008793141349745E-2</v>
      </c>
      <c r="L160" s="99">
        <f>Z160/Q160</f>
        <v>0.17634957792438108</v>
      </c>
      <c r="M160" s="99">
        <f>(Y160+AB160)/Q160</f>
        <v>7.1575512520394416E-2</v>
      </c>
      <c r="N160" s="100">
        <f>(1-E160*0.7635+1-F160*0.7562+1-G160*0.75+1-H160*0.7248+1-I160*0.7021+1-J160*0.6285+K160*0.5884+L160*0.5276+1-M160*0.3663)/11.068</f>
        <v>0.50987343964148513</v>
      </c>
      <c r="O160" s="101">
        <f>N160/0.5011*100</f>
        <v>101.75083608890145</v>
      </c>
      <c r="P160" s="102">
        <f>(O160-100)/100*Q160*0.6611</f>
        <v>163.16963677840647</v>
      </c>
      <c r="Q160" s="54">
        <v>14097</v>
      </c>
      <c r="R160" s="54">
        <f>Q160-Y160-AB160-AC160-AD160</f>
        <v>12906</v>
      </c>
      <c r="S160" s="19">
        <v>1292</v>
      </c>
      <c r="T160" s="19">
        <v>3084</v>
      </c>
      <c r="U160" s="19">
        <v>471</v>
      </c>
      <c r="V160" s="19">
        <v>74</v>
      </c>
      <c r="W160" s="19">
        <v>282</v>
      </c>
      <c r="X160" s="19" t="s">
        <v>19</v>
      </c>
      <c r="Y160" s="54">
        <v>855</v>
      </c>
      <c r="Z160" s="19">
        <v>2486</v>
      </c>
      <c r="AA160" s="54">
        <f>T160+U160+V160*2+W160*3</f>
        <v>4549</v>
      </c>
      <c r="AB160" s="19">
        <v>154</v>
      </c>
      <c r="AC160" s="19">
        <v>116</v>
      </c>
      <c r="AD160" s="19">
        <v>66</v>
      </c>
      <c r="AE160" s="9"/>
      <c r="AF160" s="37"/>
      <c r="AG160" s="37"/>
      <c r="AH160" s="37"/>
      <c r="AI160" s="37"/>
      <c r="AJ160" s="37"/>
      <c r="AK160" s="38"/>
      <c r="AL160" s="37"/>
      <c r="AM160" s="38"/>
      <c r="BB160" s="9"/>
      <c r="BC160" s="150" t="s">
        <v>34</v>
      </c>
      <c r="BD160" s="151">
        <v>0.29838488913222011</v>
      </c>
      <c r="BE160" s="151">
        <v>0.36710750853242319</v>
      </c>
      <c r="BF160" s="151">
        <v>0.27568710359408033</v>
      </c>
      <c r="BG160" s="151">
        <v>0.47408276450511944</v>
      </c>
      <c r="BH160" s="151">
        <v>0.76674069473724726</v>
      </c>
      <c r="BI160" s="151">
        <v>5.3747821034282391E-2</v>
      </c>
      <c r="BJ160" s="151">
        <v>5.8105752469494482E-2</v>
      </c>
      <c r="BK160" s="151">
        <v>9.3216723549488054E-2</v>
      </c>
      <c r="BL160" s="151">
        <v>9.4603242320819111E-2</v>
      </c>
      <c r="BM160" s="151">
        <v>0.5164039565824502</v>
      </c>
      <c r="BN160" s="165">
        <v>101.97550485435431</v>
      </c>
      <c r="BO160" s="168">
        <v>62.772188280389827</v>
      </c>
      <c r="BP160" s="9"/>
    </row>
    <row r="161" spans="1:68" x14ac:dyDescent="0.2">
      <c r="A161" s="9"/>
      <c r="B161" s="3">
        <v>2005</v>
      </c>
      <c r="C161" s="51" t="s">
        <v>72</v>
      </c>
      <c r="D161" s="26">
        <v>0.91900000000000004</v>
      </c>
      <c r="E161" s="71">
        <f>(T161-W161)/(R161-W161-Z161+AD161)</f>
        <v>0.34375371448948056</v>
      </c>
      <c r="F161" s="71">
        <f>AA161/Q161</f>
        <v>0.37839851024208565</v>
      </c>
      <c r="G161" s="71">
        <f>(U161+V161+W161)/T161</f>
        <v>0.2514950166112957</v>
      </c>
      <c r="H161" s="71">
        <f>(AA161+X161)/Q161</f>
        <v>0.47281191806331468</v>
      </c>
      <c r="I161" s="71">
        <f>(AA161/R161)+((T161+Y161+AB161)/(R161+Y161+AB161+AD161))</f>
        <v>0.85769545652678447</v>
      </c>
      <c r="J161" s="71">
        <f>W161/AA161</f>
        <v>2.9035433070866142E-2</v>
      </c>
      <c r="K161" s="71">
        <f>(AC161+AD161)/AA161</f>
        <v>3.0757874015748032E-2</v>
      </c>
      <c r="L161" s="71">
        <f>Z161/Q161</f>
        <v>6.9366852886405955E-2</v>
      </c>
      <c r="M161" s="71">
        <f>(Y161+AB161)/Q161</f>
        <v>0.13361266294227189</v>
      </c>
      <c r="N161" s="57">
        <f>(E161*0.7635+F161*0.7562+G161*0.75+H161*0.7248+I161*0.7021+J161*0.6285+1-K161*0.5884+1-L161*0.5276+M161*0.3663)/6.931</f>
        <v>0.53305431231035361</v>
      </c>
      <c r="O161" s="64">
        <f>N161/0.5102*100</f>
        <v>104.4794810486777</v>
      </c>
      <c r="P161" s="155">
        <f>(O161-100)/100*Q161*0.3389</f>
        <v>163.04352408242403</v>
      </c>
      <c r="Q161" s="54">
        <v>10740</v>
      </c>
      <c r="R161" s="54">
        <f>Q161-Y161-AB161-AC161-AD161</f>
        <v>9180</v>
      </c>
      <c r="S161" s="20" t="s">
        <v>19</v>
      </c>
      <c r="T161" s="19">
        <v>3010</v>
      </c>
      <c r="U161" s="19">
        <v>578</v>
      </c>
      <c r="V161" s="19">
        <v>61</v>
      </c>
      <c r="W161" s="19">
        <v>118</v>
      </c>
      <c r="X161" s="19">
        <v>1014</v>
      </c>
      <c r="Y161" s="54">
        <v>1412</v>
      </c>
      <c r="Z161" s="19">
        <v>745</v>
      </c>
      <c r="AA161" s="54">
        <f>T161+U161+V161*2+W161*3</f>
        <v>4064</v>
      </c>
      <c r="AB161" s="19">
        <v>23</v>
      </c>
      <c r="AC161" s="19">
        <v>29</v>
      </c>
      <c r="AD161" s="19">
        <v>96</v>
      </c>
      <c r="AE161" s="9"/>
      <c r="AF161" s="37"/>
      <c r="AG161" s="37"/>
      <c r="AH161" s="37"/>
      <c r="AI161" s="37"/>
      <c r="AJ161" s="37"/>
      <c r="AK161" s="38"/>
      <c r="AL161" s="37"/>
      <c r="AM161" s="38"/>
      <c r="BB161" s="9"/>
      <c r="BC161" s="150" t="s">
        <v>248</v>
      </c>
      <c r="BD161" s="151">
        <v>0.2812817904374364</v>
      </c>
      <c r="BE161" s="151">
        <v>0.31733184482277421</v>
      </c>
      <c r="BF161" s="151">
        <v>0.24142011834319527</v>
      </c>
      <c r="BG161" s="151">
        <v>0.4268769187831426</v>
      </c>
      <c r="BH161" s="151">
        <v>0.66299257365612707</v>
      </c>
      <c r="BI161" s="151">
        <v>1.3632365875109938E-2</v>
      </c>
      <c r="BJ161" s="151">
        <v>0.15083553210202286</v>
      </c>
      <c r="BK161" s="151">
        <v>7.340217694669271E-2</v>
      </c>
      <c r="BL161" s="151">
        <v>5.9447390454926037E-2</v>
      </c>
      <c r="BM161" s="151">
        <v>0.47807566858167522</v>
      </c>
      <c r="BN161" s="165">
        <v>102.52534175030566</v>
      </c>
      <c r="BO161" s="168">
        <v>61.329373952337555</v>
      </c>
      <c r="BP161" s="9"/>
    </row>
    <row r="162" spans="1:68" x14ac:dyDescent="0.2">
      <c r="A162" s="9"/>
      <c r="B162" s="3">
        <v>1939</v>
      </c>
      <c r="C162" s="51" t="s">
        <v>263</v>
      </c>
      <c r="D162" s="26">
        <v>0.755</v>
      </c>
      <c r="E162" s="71">
        <f>(T162-W162)/(R162-W162-Z162+AD162)</f>
        <v>0.34442200308898657</v>
      </c>
      <c r="F162" s="71">
        <f>AA162/Q162</f>
        <v>0.37042429284525791</v>
      </c>
      <c r="G162" s="71">
        <f>(U162+V162+W162)/T162</f>
        <v>0.14290586630286495</v>
      </c>
      <c r="H162" s="71">
        <f>(AA162+X162)/Q162</f>
        <v>0.45465890183028285</v>
      </c>
      <c r="I162" s="71">
        <f>(AA162/R162)+((T162+Y162+AB162)/(R162+Y162+AB162+AD162))</f>
        <v>0.80669379355202664</v>
      </c>
      <c r="J162" s="71">
        <f>W162/AA162</f>
        <v>9.2644581695676582E-3</v>
      </c>
      <c r="K162" s="71">
        <f>(AC162+AD162)/AA162</f>
        <v>0.12773722627737227</v>
      </c>
      <c r="L162" s="71">
        <f>Z162/Q162</f>
        <v>1.4143094841930116E-2</v>
      </c>
      <c r="M162" s="71">
        <f>(Y162+AB162)/Q162</f>
        <v>6.7907653910149746E-2</v>
      </c>
      <c r="N162" s="57">
        <f>(E162*0.7635+F162*0.7562+G162*0.75+H162*0.7248+I162*0.7021+J162*0.6285+1-K162*0.5884+1-L162*0.5276+M162*0.3663)/6.931</f>
        <v>0.5041482814372088</v>
      </c>
      <c r="O162" s="64">
        <f>N162/0.4804*100</f>
        <v>104.94343910016836</v>
      </c>
      <c r="P162" s="155">
        <f>(O162-100)/100*Q162*0.3389</f>
        <v>161.09987810228509</v>
      </c>
      <c r="Q162" s="54">
        <v>9616</v>
      </c>
      <c r="R162" s="21">
        <f>Q162-Y162-AB162-AC162-AD162</f>
        <v>8508</v>
      </c>
      <c r="S162" s="19" t="s">
        <v>19</v>
      </c>
      <c r="T162" s="19">
        <v>2932</v>
      </c>
      <c r="U162" s="19">
        <v>241</v>
      </c>
      <c r="V162" s="19">
        <v>145</v>
      </c>
      <c r="W162" s="19">
        <v>33</v>
      </c>
      <c r="X162" s="19">
        <v>810</v>
      </c>
      <c r="Y162" s="54">
        <v>524</v>
      </c>
      <c r="Z162" s="19">
        <v>136</v>
      </c>
      <c r="AA162" s="54">
        <f>T162+U162+V162*2+W162*3</f>
        <v>3562</v>
      </c>
      <c r="AB162" s="19">
        <v>129</v>
      </c>
      <c r="AC162" s="21">
        <v>377</v>
      </c>
      <c r="AD162" s="21">
        <v>78</v>
      </c>
      <c r="AE162" s="9"/>
      <c r="AF162" s="37"/>
      <c r="AG162" s="37"/>
      <c r="AH162" s="37"/>
      <c r="AI162" s="37"/>
      <c r="AJ162" s="37"/>
      <c r="AK162" s="38"/>
      <c r="AL162" s="37"/>
      <c r="AM162" s="38"/>
      <c r="BB162" s="9"/>
      <c r="BC162" s="150" t="s">
        <v>150</v>
      </c>
      <c r="BD162" s="151">
        <v>0.3769597818677573</v>
      </c>
      <c r="BE162" s="151">
        <v>0.41466083150984684</v>
      </c>
      <c r="BF162" s="151">
        <v>0.22847100175746923</v>
      </c>
      <c r="BG162" s="151">
        <v>0.58315098468271331</v>
      </c>
      <c r="BH162" s="151">
        <v>0.87115571427573046</v>
      </c>
      <c r="BI162" s="151">
        <v>2.1108179419525065E-2</v>
      </c>
      <c r="BJ162" s="151">
        <v>9.2348284960422161E-2</v>
      </c>
      <c r="BK162" s="151">
        <v>7.9868708971553612E-2</v>
      </c>
      <c r="BL162" s="151">
        <v>7.822757111597374E-2</v>
      </c>
      <c r="BM162" s="151">
        <v>0.54140522501713328</v>
      </c>
      <c r="BN162" s="165">
        <v>107.29394074854008</v>
      </c>
      <c r="BO162" s="168">
        <v>45.186633979754653</v>
      </c>
      <c r="BP162" s="9"/>
    </row>
    <row r="163" spans="1:68" x14ac:dyDescent="0.2">
      <c r="A163" s="9"/>
      <c r="B163" s="3">
        <v>2017</v>
      </c>
      <c r="C163" s="51" t="s">
        <v>37</v>
      </c>
      <c r="D163" s="26">
        <v>0.76</v>
      </c>
      <c r="E163" s="71">
        <f>(T163-W163)/(R163-W163-Z163+AD163)</f>
        <v>0.3213243688950907</v>
      </c>
      <c r="F163" s="71">
        <f>AA163/Q163</f>
        <v>0.43339824732229798</v>
      </c>
      <c r="G163" s="71">
        <f>(U163+V163+W163)/T163</f>
        <v>0.32841068917018285</v>
      </c>
      <c r="H163" s="71">
        <f>(AA163+X163)/Q163</f>
        <v>0.56309639727361249</v>
      </c>
      <c r="I163" s="71">
        <f>(AA163/R163)+((T163+Y163+AB163)/(R163+Y163+AB163+AD163))</f>
        <v>0.79756119201460407</v>
      </c>
      <c r="J163" s="71">
        <f>W163/AA163</f>
        <v>6.9871938890137042E-2</v>
      </c>
      <c r="K163" s="71">
        <f>(AC163+AD163)/AA163</f>
        <v>2.403954167602786E-2</v>
      </c>
      <c r="L163" s="71">
        <f>Z163/Q163</f>
        <v>0.14352482960077897</v>
      </c>
      <c r="M163" s="71">
        <f>(Y163+AB163)/Q163</f>
        <v>5.5598831548198634E-2</v>
      </c>
      <c r="N163" s="57">
        <f>(E163*0.7635+F163*0.7562+G163*0.75+H163*0.7248+I163*0.7021+J163*0.6285+1-K163*0.5884+1-L163*0.5276+M163*0.3663)/6.931</f>
        <v>0.54276247409905332</v>
      </c>
      <c r="O163" s="64">
        <f>N163/0.5189*100</f>
        <v>104.59866527250978</v>
      </c>
      <c r="P163" s="155">
        <f>(O163-100)/100*Q163*0.3389</f>
        <v>160.05668276966097</v>
      </c>
      <c r="Q163" s="54">
        <v>10270</v>
      </c>
      <c r="R163" s="54">
        <f>Q163-Y163-AB163-AC163-AD163</f>
        <v>9592</v>
      </c>
      <c r="S163" s="19" t="s">
        <v>19</v>
      </c>
      <c r="T163" s="19">
        <v>2844</v>
      </c>
      <c r="U163" s="19">
        <v>572</v>
      </c>
      <c r="V163" s="19">
        <v>51</v>
      </c>
      <c r="W163" s="19">
        <v>311</v>
      </c>
      <c r="X163" s="19">
        <v>1332</v>
      </c>
      <c r="Y163" s="54">
        <v>513</v>
      </c>
      <c r="Z163" s="19">
        <v>1474</v>
      </c>
      <c r="AA163" s="54">
        <f>T163+U163+V163*2+W163*3</f>
        <v>4451</v>
      </c>
      <c r="AB163" s="19">
        <v>58</v>
      </c>
      <c r="AC163" s="19">
        <v>31</v>
      </c>
      <c r="AD163" s="19">
        <v>76</v>
      </c>
      <c r="AE163" s="9"/>
      <c r="AF163" s="37"/>
      <c r="AG163" s="37"/>
      <c r="AH163" s="37"/>
      <c r="AI163" s="37"/>
      <c r="AJ163" s="37"/>
      <c r="AK163" s="38"/>
      <c r="AL163" s="37"/>
      <c r="AM163" s="38"/>
      <c r="BB163" s="9"/>
      <c r="BC163" s="150" t="s">
        <v>245</v>
      </c>
      <c r="BD163" s="151">
        <v>0.3033284488172493</v>
      </c>
      <c r="BE163" s="151">
        <v>0.33490155079282102</v>
      </c>
      <c r="BF163" s="151">
        <v>0.19290020093770932</v>
      </c>
      <c r="BG163" s="151">
        <v>0.46244990416448861</v>
      </c>
      <c r="BH163" s="151">
        <v>0.75988647743259241</v>
      </c>
      <c r="BI163" s="151">
        <v>2.2892819979188347E-2</v>
      </c>
      <c r="BJ163" s="151">
        <v>9.9375650364203955E-2</v>
      </c>
      <c r="BK163" s="151">
        <v>3.2235581111691933E-2</v>
      </c>
      <c r="BL163" s="151">
        <v>0.10280536678863914</v>
      </c>
      <c r="BM163" s="151">
        <v>0.50133957269822538</v>
      </c>
      <c r="BN163" s="165">
        <v>102.31419850984192</v>
      </c>
      <c r="BO163" s="168">
        <v>45.009936805413552</v>
      </c>
      <c r="BP163" s="9"/>
    </row>
    <row r="164" spans="1:68" x14ac:dyDescent="0.2">
      <c r="A164" s="9"/>
      <c r="B164" s="3">
        <v>1973</v>
      </c>
      <c r="C164" s="51" t="s">
        <v>168</v>
      </c>
      <c r="D164" s="26" t="s">
        <v>19</v>
      </c>
      <c r="E164" s="71">
        <f>(T164-W164)/(R164-W164-Z164+AD164)</f>
        <v>0.30229508196721311</v>
      </c>
      <c r="F164" s="71">
        <f>AA164/Q164</f>
        <v>0.42468827930174563</v>
      </c>
      <c r="G164" s="71">
        <f>(U164+V164+W164)/T164</f>
        <v>0.30783758262511801</v>
      </c>
      <c r="H164" s="71">
        <f>(AA164+X164)/Q164</f>
        <v>0.59625935162094768</v>
      </c>
      <c r="I164" s="71">
        <f>(AA164/R164)+((T164+Y164+AB164)/(R164+Y164+AB164+AD164))</f>
        <v>0.87978950433769709</v>
      </c>
      <c r="J164" s="71">
        <f>W164/AA164</f>
        <v>8.0446271285965945E-2</v>
      </c>
      <c r="K164" s="71">
        <f>(AC164+AD164)/AA164</f>
        <v>3.3470346447445683E-2</v>
      </c>
      <c r="L164" s="71">
        <f>Z164/Q164</f>
        <v>7.7057356608478803E-2</v>
      </c>
      <c r="M164" s="71">
        <f>(Y164+AB164)/Q164</f>
        <v>0.12169576059850375</v>
      </c>
      <c r="N164" s="57">
        <f>(E164*0.7635+F164*0.7562+G164*0.75+H164*0.7248+I164*0.7021+J164*0.6285+1-K164*0.5884+1-L164*0.5276+M164*0.3663)/6.931</f>
        <v>0.55799840907853082</v>
      </c>
      <c r="O164" s="64">
        <f>N164/0.4993*100</f>
        <v>111.75614041228337</v>
      </c>
      <c r="P164" s="155">
        <f>(O164-100)/100*Q164*0.3389</f>
        <v>159.76465502748567</v>
      </c>
      <c r="Q164" s="54">
        <v>4010</v>
      </c>
      <c r="R164" s="21">
        <f>Q164-Y164-AB164-AC164-AD164</f>
        <v>3465</v>
      </c>
      <c r="S164" s="20" t="s">
        <v>19</v>
      </c>
      <c r="T164" s="19">
        <v>1059</v>
      </c>
      <c r="U164" s="19">
        <v>145</v>
      </c>
      <c r="V164" s="19">
        <v>44</v>
      </c>
      <c r="W164" s="19">
        <v>137</v>
      </c>
      <c r="X164" s="19">
        <v>688</v>
      </c>
      <c r="Y164" s="54">
        <v>463</v>
      </c>
      <c r="Z164" s="21">
        <v>309</v>
      </c>
      <c r="AA164" s="54">
        <f>T164+U164+V164*2+W164*3</f>
        <v>1703</v>
      </c>
      <c r="AB164" s="19">
        <v>25</v>
      </c>
      <c r="AC164" s="19">
        <v>26</v>
      </c>
      <c r="AD164" s="21">
        <v>31</v>
      </c>
      <c r="AE164" s="9"/>
      <c r="AF164" s="37"/>
      <c r="AG164" s="37"/>
      <c r="AH164" s="37"/>
      <c r="AI164" s="37"/>
      <c r="AJ164" s="37"/>
      <c r="AK164" s="38"/>
      <c r="AL164" s="37"/>
      <c r="AM164" s="38"/>
      <c r="BB164" s="9"/>
      <c r="BC164" s="150" t="s">
        <v>160</v>
      </c>
      <c r="BD164" s="151">
        <v>0.3262588431127757</v>
      </c>
      <c r="BE164" s="151">
        <v>0.38036809815950923</v>
      </c>
      <c r="BF164" s="151">
        <v>0.26823238566131025</v>
      </c>
      <c r="BG164" s="151">
        <v>0.53612815269256986</v>
      </c>
      <c r="BH164" s="151">
        <v>0.77311269669363569</v>
      </c>
      <c r="BI164" s="151">
        <v>2.2401433691756272E-2</v>
      </c>
      <c r="BJ164" s="151">
        <v>9.2293906810035839E-2</v>
      </c>
      <c r="BK164" s="151">
        <v>8.0095432856169047E-2</v>
      </c>
      <c r="BL164" s="151">
        <v>6.50988411724608E-2</v>
      </c>
      <c r="BM164" s="151">
        <v>0.52094305333512991</v>
      </c>
      <c r="BN164" s="165">
        <v>102.72984684187141</v>
      </c>
      <c r="BO164" s="168">
        <v>27.143757078797844</v>
      </c>
      <c r="BP164" s="9"/>
    </row>
    <row r="165" spans="1:68" x14ac:dyDescent="0.2">
      <c r="A165" s="9"/>
      <c r="B165" s="3">
        <v>1994</v>
      </c>
      <c r="C165" s="106" t="s">
        <v>104</v>
      </c>
      <c r="D165" s="98">
        <v>0.95599999999999996</v>
      </c>
      <c r="E165" s="99">
        <f>(T165-W165)/(R165-W165-Z165+AD165)</f>
        <v>0.2836586503230964</v>
      </c>
      <c r="F165" s="99">
        <f>AA165/Q165</f>
        <v>0.32261783968268609</v>
      </c>
      <c r="G165" s="99">
        <f>(U165+V165+W165)/T165</f>
        <v>0.29066780821917809</v>
      </c>
      <c r="H165" s="99">
        <f>(AA165+S165)/Q165</f>
        <v>0.42085600959321096</v>
      </c>
      <c r="I165" s="99">
        <f>(AA165/R165)+((T165+Y165+AB165)/(R165+Y165+AB165+AD165))</f>
        <v>0.66562064510728902</v>
      </c>
      <c r="J165" s="99">
        <f>W165/AA165</f>
        <v>5.9185132237312366E-2</v>
      </c>
      <c r="K165" s="99">
        <f>(AC165+AD165)/AA165</f>
        <v>5.1036454610436023E-2</v>
      </c>
      <c r="L165" s="99">
        <f>Z165/Q165</f>
        <v>0.19075731021123513</v>
      </c>
      <c r="M165" s="99">
        <f>(Y165+AB165)/Q165</f>
        <v>8.6984595517018731E-2</v>
      </c>
      <c r="N165" s="100">
        <f>(1-E165*0.7635+1-F165*0.7562+1-G165*0.75+1-H165*0.7248+1-I165*0.7021+1-J165*0.6285+K165*0.5884+L165*0.5276+1-M165*0.3663)/11.068</f>
        <v>0.50693048040062261</v>
      </c>
      <c r="O165" s="101">
        <f>N165/0.5014*100</f>
        <v>101.10300765868023</v>
      </c>
      <c r="P165" s="102">
        <f>(O165-100)/100*Q165*0.6611</f>
        <v>158.10478909894141</v>
      </c>
      <c r="Q165" s="54">
        <v>21682</v>
      </c>
      <c r="R165" s="54">
        <f>Q165-Y165-AB165-AC165-AD165</f>
        <v>19439</v>
      </c>
      <c r="S165" s="19">
        <v>2130</v>
      </c>
      <c r="T165" s="19">
        <v>4672</v>
      </c>
      <c r="U165" s="19">
        <v>807</v>
      </c>
      <c r="V165" s="19">
        <v>137</v>
      </c>
      <c r="W165" s="19">
        <v>414</v>
      </c>
      <c r="X165" s="19" t="s">
        <v>19</v>
      </c>
      <c r="Y165" s="54">
        <v>1833</v>
      </c>
      <c r="Z165" s="19">
        <v>4136</v>
      </c>
      <c r="AA165" s="54">
        <f>T165+U165+V165*2+W165*3</f>
        <v>6995</v>
      </c>
      <c r="AB165" s="19">
        <v>53</v>
      </c>
      <c r="AC165" s="19">
        <v>235</v>
      </c>
      <c r="AD165" s="19">
        <v>122</v>
      </c>
      <c r="AE165" s="9"/>
      <c r="AF165" s="37"/>
      <c r="AG165" s="37"/>
      <c r="AH165" s="37"/>
      <c r="AI165" s="37"/>
      <c r="AJ165" s="37"/>
      <c r="AK165" s="38"/>
      <c r="AL165" s="37"/>
      <c r="AM165" s="38"/>
      <c r="BB165" s="9"/>
      <c r="BC165" s="150" t="s">
        <v>120</v>
      </c>
      <c r="BD165" s="151">
        <v>0.34772182254196643</v>
      </c>
      <c r="BE165" s="151">
        <v>0.40221774193548387</v>
      </c>
      <c r="BF165" s="151">
        <v>0.26530612244897961</v>
      </c>
      <c r="BG165" s="151">
        <v>0.55141129032258063</v>
      </c>
      <c r="BH165" s="151">
        <v>0.80192957946101351</v>
      </c>
      <c r="BI165" s="151">
        <v>1.0025062656641603E-2</v>
      </c>
      <c r="BJ165" s="151">
        <v>5.5137844611528819E-2</v>
      </c>
      <c r="BK165" s="151">
        <v>7.9637096774193547E-2</v>
      </c>
      <c r="BL165" s="151">
        <v>6.1491935483870969E-2</v>
      </c>
      <c r="BM165" s="151">
        <v>0.53176821938890151</v>
      </c>
      <c r="BN165" s="165">
        <v>105.80346585533256</v>
      </c>
      <c r="BO165" s="168">
        <v>19.510602217452274</v>
      </c>
      <c r="BP165" s="9"/>
    </row>
    <row r="166" spans="1:68" x14ac:dyDescent="0.2">
      <c r="A166" s="9"/>
      <c r="B166" s="3">
        <v>1946</v>
      </c>
      <c r="C166" s="106" t="s">
        <v>247</v>
      </c>
      <c r="D166" s="98" t="s">
        <v>19</v>
      </c>
      <c r="E166" s="99">
        <f>(T166-W166)/(R166-W166-Z166+AD166)</f>
        <v>0.28343949044585987</v>
      </c>
      <c r="F166" s="99">
        <f>AA166/Q166</f>
        <v>0.28657235881890647</v>
      </c>
      <c r="G166" s="99">
        <f>(U166+V166+W166)/T166</f>
        <v>0.21147043961596765</v>
      </c>
      <c r="H166" s="99">
        <f>(AA166+S166)/Q166</f>
        <v>0.37448074548108229</v>
      </c>
      <c r="I166" s="99">
        <f>(AA166/R166)+((T166+Y166+AB166)/(R166+Y166+AB166+AD166))</f>
        <v>0.62042946975663638</v>
      </c>
      <c r="J166" s="99">
        <f>W166/AA166</f>
        <v>8.2272282076395684E-3</v>
      </c>
      <c r="K166" s="99">
        <f>(AC166+AD166)/AA166</f>
        <v>0.1157688540646425</v>
      </c>
      <c r="L166" s="99">
        <f>Z166/Q166</f>
        <v>0.12608061075558549</v>
      </c>
      <c r="M166" s="99">
        <f>(Y166+AB166)/Q166</f>
        <v>7.0843157067475016E-2</v>
      </c>
      <c r="N166" s="100">
        <f>(1-E166*0.7635+1-F166*0.7562+1-G166*0.75+1-H166*0.7248+1-I166*0.7021+1-J166*0.6285+K166*0.5884+L166*0.5276+1-M166*0.3663)/11.068</f>
        <v>0.52446474423173972</v>
      </c>
      <c r="O166" s="101">
        <f>N166/0.5176*100</f>
        <v>101.32626434152623</v>
      </c>
      <c r="P166" s="102">
        <f>(O166-100)/100*Q166*0.6611</f>
        <v>156.1919684704375</v>
      </c>
      <c r="Q166" s="54">
        <v>17814</v>
      </c>
      <c r="R166" s="21">
        <f>Q166-Y166-AB166-AC166-AD166</f>
        <v>15961</v>
      </c>
      <c r="S166" s="19">
        <v>1566</v>
      </c>
      <c r="T166" s="19">
        <v>3958</v>
      </c>
      <c r="U166" s="21">
        <v>569</v>
      </c>
      <c r="V166" s="21">
        <v>226</v>
      </c>
      <c r="W166" s="19">
        <v>42</v>
      </c>
      <c r="X166" s="19" t="s">
        <v>19</v>
      </c>
      <c r="Y166" s="54">
        <v>1072</v>
      </c>
      <c r="Z166" s="19">
        <v>2246</v>
      </c>
      <c r="AA166" s="21">
        <f>T166+U166+V166*2+W166*3</f>
        <v>5105</v>
      </c>
      <c r="AB166" s="19">
        <v>190</v>
      </c>
      <c r="AC166" s="21">
        <v>448</v>
      </c>
      <c r="AD166" s="21">
        <v>143</v>
      </c>
      <c r="AE166" s="9"/>
      <c r="AF166" s="37"/>
      <c r="AG166" s="37"/>
      <c r="AH166" s="37"/>
      <c r="AI166" s="37"/>
      <c r="AJ166" s="37"/>
      <c r="AK166" s="38"/>
      <c r="AL166" s="37"/>
      <c r="AM166" s="38"/>
      <c r="BB166" s="9"/>
      <c r="BC166" s="150" t="s">
        <v>117</v>
      </c>
      <c r="BD166" s="151">
        <v>0.29306071871127631</v>
      </c>
      <c r="BE166" s="151">
        <v>0.35602775368603645</v>
      </c>
      <c r="BF166" s="151">
        <v>0.24050632911392406</v>
      </c>
      <c r="BG166" s="151">
        <v>0.43983087597571552</v>
      </c>
      <c r="BH166" s="151">
        <v>0.72625990333370005</v>
      </c>
      <c r="BI166" s="151">
        <v>2.5578562728380026E-2</v>
      </c>
      <c r="BJ166" s="151">
        <v>4.8721071863580996E-2</v>
      </c>
      <c r="BK166" s="151">
        <v>3.751084128360798E-2</v>
      </c>
      <c r="BL166" s="151">
        <v>6.7974848222029483E-2</v>
      </c>
      <c r="BM166" s="151">
        <v>0.50419469123927663</v>
      </c>
      <c r="BN166" s="165">
        <v>100.39719060917496</v>
      </c>
      <c r="BO166" s="168">
        <v>12.416232460731973</v>
      </c>
      <c r="BP166" s="9"/>
    </row>
    <row r="167" spans="1:68" x14ac:dyDescent="0.2">
      <c r="A167" s="9"/>
      <c r="B167" s="3">
        <v>2018</v>
      </c>
      <c r="C167" s="106" t="s">
        <v>32</v>
      </c>
      <c r="D167" s="98">
        <v>0.79900000000000004</v>
      </c>
      <c r="E167" s="99">
        <f>(T167-W167)/(R167-W167-Z167+AD167)</f>
        <v>0.26576416102600642</v>
      </c>
      <c r="F167" s="99">
        <f>AA167/Q167</f>
        <v>0.31267092069279856</v>
      </c>
      <c r="G167" s="99">
        <f>(U167+V167+W167)/T167</f>
        <v>0.35106382978723405</v>
      </c>
      <c r="H167" s="99">
        <f>(AA167+S167)/Q167</f>
        <v>0.39881494986326343</v>
      </c>
      <c r="I167" s="99">
        <f>(AA167/R167)+((T167+Y167+AB167)/(R167+Y167+AB167+AD167))</f>
        <v>0.60890313243521133</v>
      </c>
      <c r="J167" s="99">
        <f>W167/AA167</f>
        <v>7.2886297376093298E-2</v>
      </c>
      <c r="K167" s="99">
        <f>(AC167+AD167)/AA167</f>
        <v>4.5189504373177841E-2</v>
      </c>
      <c r="L167" s="99">
        <f>Z167/Q167</f>
        <v>0.25820419325432997</v>
      </c>
      <c r="M167" s="99">
        <f>(Y167+AB167)/Q167</f>
        <v>7.2014585232452147E-2</v>
      </c>
      <c r="N167" s="100">
        <f>(1-E167*0.7635+1-F167*0.7562+1-G167*0.75+1-H167*0.7248+1-I167*0.7021+1-J167*0.6285+K167*0.5884+L167*0.5276+1-M167*0.3663)/11.068</f>
        <v>0.51241484747084465</v>
      </c>
      <c r="O167" s="101">
        <f>N167/0.4866*100</f>
        <v>105.30514744571407</v>
      </c>
      <c r="P167" s="102">
        <f>(O167-100)/100*Q167*0.6611</f>
        <v>153.89738300274578</v>
      </c>
      <c r="Q167" s="54">
        <v>4388</v>
      </c>
      <c r="R167" s="54">
        <f>Q167-Y167-AB167-AC167-AD167</f>
        <v>4010</v>
      </c>
      <c r="S167" s="19">
        <v>378</v>
      </c>
      <c r="T167" s="19">
        <v>846</v>
      </c>
      <c r="U167" s="19">
        <v>168</v>
      </c>
      <c r="V167" s="19">
        <v>29</v>
      </c>
      <c r="W167" s="19">
        <v>100</v>
      </c>
      <c r="X167" s="19" t="s">
        <v>19</v>
      </c>
      <c r="Y167" s="54">
        <v>307</v>
      </c>
      <c r="Z167" s="19">
        <v>1133</v>
      </c>
      <c r="AA167" s="54">
        <f>T167+U167+V167*2+W167*3</f>
        <v>1372</v>
      </c>
      <c r="AB167" s="19">
        <v>9</v>
      </c>
      <c r="AC167" s="19">
        <v>32</v>
      </c>
      <c r="AD167" s="19">
        <v>30</v>
      </c>
      <c r="AE167" s="9"/>
      <c r="AF167" s="37"/>
      <c r="AG167" s="37"/>
      <c r="AH167" s="37"/>
      <c r="AI167" s="37"/>
      <c r="AJ167" s="37"/>
      <c r="AK167" s="38"/>
      <c r="AL167" s="37"/>
      <c r="AM167" s="38"/>
      <c r="BB167" s="9"/>
      <c r="BC167" s="150" t="s">
        <v>64</v>
      </c>
      <c r="BD167" s="151">
        <v>0.3252212389380531</v>
      </c>
      <c r="BE167" s="151">
        <v>0.34803921568627449</v>
      </c>
      <c r="BF167" s="151">
        <v>0.24025974025974026</v>
      </c>
      <c r="BG167" s="151">
        <v>0.48529411764705882</v>
      </c>
      <c r="BH167" s="151">
        <v>0.83345924453280318</v>
      </c>
      <c r="BI167" s="151">
        <v>3.2863849765258218E-2</v>
      </c>
      <c r="BJ167" s="151">
        <v>7.9812206572769953E-2</v>
      </c>
      <c r="BK167" s="151">
        <v>8.0065359477124176E-2</v>
      </c>
      <c r="BL167" s="151">
        <v>0.15032679738562091</v>
      </c>
      <c r="BM167" s="151">
        <v>0.5215866451500949</v>
      </c>
      <c r="BN167" s="165">
        <v>104.19229827209247</v>
      </c>
      <c r="BO167" s="168">
        <v>8.6951116926022891</v>
      </c>
      <c r="BP167" s="9"/>
    </row>
    <row r="168" spans="1:68" x14ac:dyDescent="0.2">
      <c r="A168" s="9"/>
      <c r="B168" s="3">
        <v>1946</v>
      </c>
      <c r="C168" s="106" t="s">
        <v>249</v>
      </c>
      <c r="D168" s="98" t="s">
        <v>19</v>
      </c>
      <c r="E168" s="99">
        <f>(T168-W168)/(R168-W168-Z168+AD168)</f>
        <v>0.29715477066470442</v>
      </c>
      <c r="F168" s="99">
        <f>AA168/Q168</f>
        <v>0.27635060168985237</v>
      </c>
      <c r="G168" s="99">
        <f>(U168+V168+W168)/T168</f>
        <v>0.22560975609756098</v>
      </c>
      <c r="H168" s="99">
        <f>(AA168+S168)/Q168</f>
        <v>0.36707348297345738</v>
      </c>
      <c r="I168" s="99">
        <f>(AA168/R168)+((T168+Y168+AB168)/(R168+Y168+AB168+AD168))</f>
        <v>0.60649959573455337</v>
      </c>
      <c r="J168" s="99">
        <f>W168/AA168</f>
        <v>1.1426806670784434E-2</v>
      </c>
      <c r="K168" s="99">
        <f>(AC168+AD168)/AA168</f>
        <v>0.12075355157504633</v>
      </c>
      <c r="L168" s="99">
        <f>Z168/Q168</f>
        <v>0.19766151745327301</v>
      </c>
      <c r="M168" s="99">
        <f>(Y168+AB168)/Q168</f>
        <v>7.8091661688145436E-2</v>
      </c>
      <c r="N168" s="100">
        <f>(1-E168*0.7635+1-F168*0.7562+1-G168*0.75+1-H168*0.7248+1-I168*0.7021+1-J168*0.6285+K168*0.5884+L168*0.5276+1-M168*0.3663)/11.068</f>
        <v>0.52788320804013533</v>
      </c>
      <c r="O168" s="101">
        <f>N168/0.5176*100</f>
        <v>101.98670943588397</v>
      </c>
      <c r="P168" s="102">
        <f>(O168-100)/100*Q168*0.6611</f>
        <v>153.89267245672886</v>
      </c>
      <c r="Q168" s="54">
        <v>11717</v>
      </c>
      <c r="R168" s="21">
        <f>Q168-Y168-AB168-AC168-AD168</f>
        <v>10411</v>
      </c>
      <c r="S168" s="19">
        <v>1063</v>
      </c>
      <c r="T168" s="19">
        <v>2460</v>
      </c>
      <c r="U168" s="21">
        <v>369</v>
      </c>
      <c r="V168" s="21">
        <v>149</v>
      </c>
      <c r="W168" s="19">
        <v>37</v>
      </c>
      <c r="X168" s="19" t="s">
        <v>19</v>
      </c>
      <c r="Y168" s="54">
        <v>803</v>
      </c>
      <c r="Z168" s="19">
        <v>2316</v>
      </c>
      <c r="AA168" s="21">
        <f>T168+U168+V168*2+W168*3</f>
        <v>3238</v>
      </c>
      <c r="AB168" s="21">
        <v>112</v>
      </c>
      <c r="AC168" s="21">
        <v>295</v>
      </c>
      <c r="AD168" s="21">
        <v>96</v>
      </c>
      <c r="AE168" s="9"/>
      <c r="AF168" s="37"/>
      <c r="AG168" s="37"/>
      <c r="AH168" s="37"/>
      <c r="AI168" s="37"/>
      <c r="AJ168" s="37"/>
      <c r="AK168" s="38"/>
      <c r="AL168" s="37"/>
      <c r="AM168" s="38"/>
      <c r="BB168" s="9"/>
      <c r="BC168" s="150" t="s">
        <v>67</v>
      </c>
      <c r="BD168" s="151">
        <v>0.33440514469453375</v>
      </c>
      <c r="BE168" s="151">
        <v>0.37239583333333331</v>
      </c>
      <c r="BF168" s="151">
        <v>0.11711711711711711</v>
      </c>
      <c r="BG168" s="151">
        <v>0.54166666666666663</v>
      </c>
      <c r="BH168" s="151">
        <v>0.77862813102119466</v>
      </c>
      <c r="BI168" s="151">
        <v>4.8951048951048952E-2</v>
      </c>
      <c r="BJ168" s="151">
        <v>8.3916083916083919E-2</v>
      </c>
      <c r="BK168" s="151">
        <v>8.0729166666666671E-2</v>
      </c>
      <c r="BL168" s="151">
        <v>6.7708333333333329E-2</v>
      </c>
      <c r="BM168" s="151">
        <v>0.50896480600561811</v>
      </c>
      <c r="BN168" s="165">
        <v>101.08536365553489</v>
      </c>
      <c r="BO168" s="168">
        <v>1.4124662125853746</v>
      </c>
      <c r="BP168" s="9"/>
    </row>
    <row r="169" spans="1:68" x14ac:dyDescent="0.2">
      <c r="A169" s="9"/>
      <c r="B169" s="3">
        <v>2011</v>
      </c>
      <c r="C169" s="106" t="s">
        <v>51</v>
      </c>
      <c r="D169" s="98">
        <v>0.79700000000000004</v>
      </c>
      <c r="E169" s="99">
        <f>(T169-W169)/(R169-W169-Z169+AD169)</f>
        <v>0.28569485994016863</v>
      </c>
      <c r="F169" s="99">
        <f>AA169/Q169</f>
        <v>0.33505758344719888</v>
      </c>
      <c r="G169" s="99">
        <f>(U169+V169+W169)/T169</f>
        <v>0.27158894645941278</v>
      </c>
      <c r="H169" s="99">
        <f>(AA169+S169)/Q169</f>
        <v>0.43407183291040408</v>
      </c>
      <c r="I169" s="99">
        <f>(AA169/R169)+((T169+Y169+AB169)/(R169+Y169+AB169+AD169))</f>
        <v>0.6675116501513505</v>
      </c>
      <c r="J169" s="99">
        <f>W169/AA169</f>
        <v>6.2627439557238568E-2</v>
      </c>
      <c r="K169" s="99">
        <f>(AC169+AD169)/AA169</f>
        <v>4.3256626856976406E-2</v>
      </c>
      <c r="L169" s="99">
        <f>Z169/Q169</f>
        <v>0.18060706617216474</v>
      </c>
      <c r="M169" s="99">
        <f>(Y169+AB169)/Q169</f>
        <v>7.2076908061682612E-2</v>
      </c>
      <c r="N169" s="100">
        <f>(1-E169*0.7635+1-F169*0.7562+1-G169*0.75+1-H169*0.7248+1-I169*0.7021+1-J169*0.6285+K169*0.5884+L169*0.5276+1-M169*0.3663)/11.068</f>
        <v>0.5056479848295975</v>
      </c>
      <c r="O169" s="101">
        <f>N169/0.5*100</f>
        <v>101.1295969659195</v>
      </c>
      <c r="P169" s="102">
        <f>(O169-100)/100*Q169*0.6611</f>
        <v>153.02945148039018</v>
      </c>
      <c r="Q169" s="54">
        <v>20492</v>
      </c>
      <c r="R169" s="54">
        <f>Q169-Y169-AB169-AC169-AD169</f>
        <v>18718</v>
      </c>
      <c r="S169" s="19">
        <v>2029</v>
      </c>
      <c r="T169" s="19">
        <v>4632</v>
      </c>
      <c r="U169" s="19">
        <v>712</v>
      </c>
      <c r="V169" s="19">
        <v>116</v>
      </c>
      <c r="W169" s="19">
        <v>430</v>
      </c>
      <c r="X169" s="19" t="s">
        <v>19</v>
      </c>
      <c r="Y169" s="54">
        <v>1322</v>
      </c>
      <c r="Z169" s="19">
        <v>3701</v>
      </c>
      <c r="AA169" s="54">
        <f>T169+U169+V169*2+W169*3</f>
        <v>6866</v>
      </c>
      <c r="AB169" s="19">
        <v>155</v>
      </c>
      <c r="AC169" s="19">
        <v>176</v>
      </c>
      <c r="AD169" s="19">
        <v>121</v>
      </c>
      <c r="AE169" s="9"/>
      <c r="AF169" s="37"/>
      <c r="AG169" s="37"/>
      <c r="AH169" s="37"/>
      <c r="AI169" s="37"/>
      <c r="AJ169" s="37"/>
      <c r="AK169" s="38"/>
      <c r="AL169" s="37"/>
      <c r="AM169" s="38"/>
      <c r="BB169" s="9"/>
      <c r="BC169" s="150" t="s">
        <v>202</v>
      </c>
      <c r="BD169" s="151">
        <v>0.29272752848501898</v>
      </c>
      <c r="BE169" s="151">
        <v>0.32141976830170077</v>
      </c>
      <c r="BF169" s="151">
        <v>0.16753678215472234</v>
      </c>
      <c r="BG169" s="151">
        <v>0.42851860981020456</v>
      </c>
      <c r="BH169" s="151">
        <v>0.67898386819924028</v>
      </c>
      <c r="BI169" s="151">
        <v>9.9693251533742328E-3</v>
      </c>
      <c r="BJ169" s="151">
        <v>8.7423312883435578E-2</v>
      </c>
      <c r="BK169" s="151">
        <v>4.0177471037712596E-2</v>
      </c>
      <c r="BL169" s="151">
        <v>6.0142962780379589E-2</v>
      </c>
      <c r="BM169" s="151">
        <v>0.481196237593776</v>
      </c>
      <c r="BN169" s="165">
        <v>99.916162291066442</v>
      </c>
      <c r="BO169" s="168">
        <v>-2.3053983281022692</v>
      </c>
      <c r="BP169" s="9"/>
    </row>
    <row r="170" spans="1:68" x14ac:dyDescent="0.2">
      <c r="A170" s="9"/>
      <c r="B170" s="3">
        <v>1969</v>
      </c>
      <c r="C170" s="106" t="s">
        <v>189</v>
      </c>
      <c r="D170" s="98" t="s">
        <v>19</v>
      </c>
      <c r="E170" s="99">
        <f>(T170-W170)/(R170-W170-Z170+AD170)</f>
        <v>0.27939801832118155</v>
      </c>
      <c r="F170" s="99">
        <f>AA170/Q170</f>
        <v>0.30979020979020977</v>
      </c>
      <c r="G170" s="99">
        <f>(U170+V170+W170)/T170</f>
        <v>0.22062193126022914</v>
      </c>
      <c r="H170" s="99">
        <f>(AA170+S170)/Q170</f>
        <v>0.40512820512820513</v>
      </c>
      <c r="I170" s="99">
        <f>(AA170/R170)+((T170+Y170+AB170)/(R170+Y170+AB170+AD170))</f>
        <v>0.65152314380420562</v>
      </c>
      <c r="J170" s="99">
        <f>W170/AA170</f>
        <v>1.6553799849510911E-2</v>
      </c>
      <c r="K170" s="99">
        <f>(AC170+AD170)/AA170</f>
        <v>9.9322799097065456E-2</v>
      </c>
      <c r="L170" s="99">
        <f>Z170/Q170</f>
        <v>7.6223776223776227E-2</v>
      </c>
      <c r="M170" s="99">
        <f>(Y170+AB170)/Q170</f>
        <v>6.4646464646464646E-2</v>
      </c>
      <c r="N170" s="100">
        <f>(1-E170*0.7635+1-F170*0.7562+1-G170*0.75+1-H170*0.7248+1-I170*0.7021+1-J170*0.6285+K170*0.5884+L170*0.5276+1-M170*0.3663)/11.068</f>
        <v>0.51503899726241009</v>
      </c>
      <c r="O170" s="105">
        <f>N170/0.5061*100</f>
        <v>101.76625118798856</v>
      </c>
      <c r="P170" s="102">
        <f>(O170-100)/100*Q170*0.6611</f>
        <v>150.2789565908077</v>
      </c>
      <c r="Q170" s="54">
        <v>12870</v>
      </c>
      <c r="R170" s="21">
        <f>Q170-Y170-AB170-AC170-AD170</f>
        <v>11642</v>
      </c>
      <c r="S170" s="19">
        <v>1227</v>
      </c>
      <c r="T170" s="19">
        <v>3055</v>
      </c>
      <c r="U170" s="21">
        <v>482</v>
      </c>
      <c r="V170" s="21">
        <v>126</v>
      </c>
      <c r="W170" s="19">
        <v>66</v>
      </c>
      <c r="X170" s="20" t="s">
        <v>19</v>
      </c>
      <c r="Y170" s="54">
        <v>802</v>
      </c>
      <c r="Z170" s="19">
        <v>981</v>
      </c>
      <c r="AA170" s="21">
        <f>T170+U170+V170*2+W170*3</f>
        <v>3987</v>
      </c>
      <c r="AB170" s="21">
        <v>30</v>
      </c>
      <c r="AC170" s="21">
        <v>293</v>
      </c>
      <c r="AD170" s="21">
        <v>103</v>
      </c>
      <c r="AE170" s="9"/>
      <c r="AF170" s="37"/>
      <c r="AG170" s="37"/>
      <c r="AH170" s="37"/>
      <c r="AI170" s="37"/>
      <c r="AJ170" s="37"/>
      <c r="AK170" s="38"/>
      <c r="AL170" s="37"/>
      <c r="AM170" s="38"/>
      <c r="BB170" s="9"/>
      <c r="BC170" s="150" t="s">
        <v>195</v>
      </c>
      <c r="BD170" s="151">
        <v>0.32071739417117234</v>
      </c>
      <c r="BE170" s="151">
        <v>0.36667866138898886</v>
      </c>
      <c r="BF170" s="151">
        <v>0.17324115494103293</v>
      </c>
      <c r="BG170" s="151">
        <v>0.43840710087561474</v>
      </c>
      <c r="BH170" s="151">
        <v>0.74905556392304484</v>
      </c>
      <c r="BI170" s="151">
        <v>8.832188420019628E-3</v>
      </c>
      <c r="BJ170" s="151">
        <v>5.6264311416421325E-2</v>
      </c>
      <c r="BK170" s="151">
        <v>2.0750869617368359E-2</v>
      </c>
      <c r="BL170" s="151">
        <v>5.3496461556914961E-2</v>
      </c>
      <c r="BM170" s="151">
        <v>0.50163657238285486</v>
      </c>
      <c r="BN170" s="165">
        <v>99.748771601283522</v>
      </c>
      <c r="BO170" s="168">
        <v>-7.0982305415764451</v>
      </c>
      <c r="BP170" s="9"/>
    </row>
    <row r="171" spans="1:68" x14ac:dyDescent="0.2">
      <c r="A171" s="9"/>
      <c r="B171" s="3">
        <v>1936</v>
      </c>
      <c r="C171" s="106" t="s">
        <v>275</v>
      </c>
      <c r="D171" s="98">
        <v>0.90700000000000003</v>
      </c>
      <c r="E171" s="99">
        <f>(T171-W171)/(R171-W171-Z171+AD171)</f>
        <v>0.27727425310506881</v>
      </c>
      <c r="F171" s="99">
        <f>AA171/Q171</f>
        <v>0.29436314649479633</v>
      </c>
      <c r="G171" s="99">
        <f>(U171+V171+W171)/T171</f>
        <v>0.22185351979141976</v>
      </c>
      <c r="H171" s="99">
        <f>(AA171+S171)/Q171</f>
        <v>0.37994611442759785</v>
      </c>
      <c r="I171" s="99">
        <f>(AA171/R171)+((T171+Y171+AB171)/(R171+Y171+AB171+AD171))</f>
        <v>0.59997372061689136</v>
      </c>
      <c r="J171" s="99">
        <f>W171/AA171</f>
        <v>1.5972720746590095E-2</v>
      </c>
      <c r="K171" s="99">
        <f>(AC171+AD171)/AA171</f>
        <v>0.12257717157214644</v>
      </c>
      <c r="L171" s="99">
        <f>Z171/Q171</f>
        <v>0.1324422843256379</v>
      </c>
      <c r="M171" s="99">
        <f>(Y171+AB171)/Q171</f>
        <v>4.7915896243858627E-2</v>
      </c>
      <c r="N171" s="100">
        <f>(1-E171*0.7635+1-F171*0.7562+1-G171*0.75+1-H171*0.7248+1-I171*0.7021+1-J171*0.6285+K171*0.5884+L171*0.5276+1-M171*0.3663)/11.068</f>
        <v>0.52557802427981659</v>
      </c>
      <c r="O171" s="101">
        <f>N171/0.5195*100</f>
        <v>101.1699757997722</v>
      </c>
      <c r="P171" s="102">
        <f>(O171-100)/100*Q171*0.6611</f>
        <v>146.41032582271379</v>
      </c>
      <c r="Q171" s="54">
        <v>18929</v>
      </c>
      <c r="R171" s="21">
        <f>Q171-Y171-AB171-AC171-AD171</f>
        <v>17339</v>
      </c>
      <c r="S171" s="19">
        <v>1620</v>
      </c>
      <c r="T171" s="19">
        <v>4219</v>
      </c>
      <c r="U171" s="21">
        <v>608</v>
      </c>
      <c r="V171" s="21">
        <v>239</v>
      </c>
      <c r="W171" s="19">
        <v>89</v>
      </c>
      <c r="X171" s="19" t="s">
        <v>19</v>
      </c>
      <c r="Y171" s="54">
        <v>848</v>
      </c>
      <c r="Z171" s="19">
        <v>2507</v>
      </c>
      <c r="AA171" s="21">
        <f>T171+U171+V171*2+W171*3</f>
        <v>5572</v>
      </c>
      <c r="AB171" s="19">
        <v>59</v>
      </c>
      <c r="AC171" s="21">
        <v>531</v>
      </c>
      <c r="AD171" s="21">
        <v>152</v>
      </c>
      <c r="AE171" s="9"/>
      <c r="AF171" s="37"/>
      <c r="AG171" s="37"/>
      <c r="AH171" s="37"/>
      <c r="AI171" s="37"/>
      <c r="AJ171" s="37"/>
      <c r="AK171" s="38"/>
      <c r="AL171" s="37"/>
      <c r="AM171" s="38"/>
      <c r="BB171" s="9"/>
      <c r="BC171" s="150" t="s">
        <v>132</v>
      </c>
      <c r="BD171" s="151">
        <v>0.28939544103072351</v>
      </c>
      <c r="BE171" s="151">
        <v>0.32073479729729731</v>
      </c>
      <c r="BF171" s="151">
        <v>0.24700460829493087</v>
      </c>
      <c r="BG171" s="151">
        <v>0.41416807432432434</v>
      </c>
      <c r="BH171" s="151">
        <v>0.74506481546842962</v>
      </c>
      <c r="BI171" s="151">
        <v>4.1474654377880185E-2</v>
      </c>
      <c r="BJ171" s="151">
        <v>7.5378538512179072E-2</v>
      </c>
      <c r="BK171" s="151">
        <v>9.3961148648648643E-2</v>
      </c>
      <c r="BL171" s="151">
        <v>0.13048986486486486</v>
      </c>
      <c r="BM171" s="151">
        <v>0.49804994662587371</v>
      </c>
      <c r="BN171" s="165">
        <v>99.272462951140866</v>
      </c>
      <c r="BO171" s="168">
        <v>-23.354381610903889</v>
      </c>
      <c r="BP171" s="9"/>
    </row>
    <row r="172" spans="1:68" x14ac:dyDescent="0.2">
      <c r="A172" s="9"/>
      <c r="B172" s="3">
        <v>2006</v>
      </c>
      <c r="C172" s="106" t="s">
        <v>60</v>
      </c>
      <c r="D172" s="98" t="s">
        <v>19</v>
      </c>
      <c r="E172" s="99">
        <f>(T172-W172)/(R172-W172-Z172+AD172)</f>
        <v>0.27398913699456851</v>
      </c>
      <c r="F172" s="99">
        <f>AA172/Q172</f>
        <v>0.29700579523502896</v>
      </c>
      <c r="G172" s="99">
        <f>(U172+V172+W172)/T172</f>
        <v>0.2478386167146974</v>
      </c>
      <c r="H172" s="99">
        <f>(AA172+S172)/Q172</f>
        <v>0.40019317450096586</v>
      </c>
      <c r="I172" s="99">
        <f>(AA172/R172)+((T172+Y172+AB172)/(R172+Y172+AB172+AD172))</f>
        <v>0.62323938007698787</v>
      </c>
      <c r="J172" s="99">
        <f>W172/AA172</f>
        <v>1.4092140921409214E-2</v>
      </c>
      <c r="K172" s="99">
        <f>(AC172+AD172)/AA172</f>
        <v>8.2926829268292687E-2</v>
      </c>
      <c r="L172" s="99">
        <f>Z172/Q172</f>
        <v>0.11107533805537669</v>
      </c>
      <c r="M172" s="99">
        <f>(Y172+AB172)/Q172</f>
        <v>6.7611075338055382E-2</v>
      </c>
      <c r="N172" s="100">
        <f>(1-E172*0.7635+1-F172*0.7562+1-G172*0.75+1-H172*0.7248+1-I172*0.7021+1-J172*0.6285+K172*0.5884+L172*0.5276+1-M172*0.3663)/11.068</f>
        <v>0.51739002661868327</v>
      </c>
      <c r="O172" s="101">
        <f>N172/0.4996*100</f>
        <v>103.56085400694222</v>
      </c>
      <c r="P172" s="102">
        <f>(O172-100)/100*Q172*0.6611</f>
        <v>146.23548587742792</v>
      </c>
      <c r="Q172" s="54">
        <v>6212</v>
      </c>
      <c r="R172" s="21">
        <f>Q172-Y172-AB172-AC172-AD172</f>
        <v>5639</v>
      </c>
      <c r="S172" s="19">
        <v>641</v>
      </c>
      <c r="T172" s="19">
        <v>1388</v>
      </c>
      <c r="U172" s="21">
        <v>257</v>
      </c>
      <c r="V172" s="21">
        <v>61</v>
      </c>
      <c r="W172" s="19">
        <v>26</v>
      </c>
      <c r="X172" s="19" t="s">
        <v>19</v>
      </c>
      <c r="Y172" s="54">
        <v>392</v>
      </c>
      <c r="Z172" s="19">
        <v>690</v>
      </c>
      <c r="AA172" s="21">
        <f>T172+U172+V172*2+W172*3</f>
        <v>1845</v>
      </c>
      <c r="AB172" s="19">
        <v>28</v>
      </c>
      <c r="AC172" s="21">
        <v>105</v>
      </c>
      <c r="AD172" s="21">
        <v>48</v>
      </c>
      <c r="AE172" s="9"/>
      <c r="AF172" s="37"/>
      <c r="AG172" s="37"/>
      <c r="AH172" s="37"/>
      <c r="AI172" s="37"/>
      <c r="AJ172" s="37"/>
      <c r="AK172" s="38"/>
      <c r="AL172" s="37"/>
      <c r="AM172" s="38"/>
      <c r="BB172" s="9"/>
      <c r="BC172" s="150" t="s">
        <v>131</v>
      </c>
      <c r="BD172" s="151">
        <v>0.29055351842151211</v>
      </c>
      <c r="BE172" s="151">
        <v>0.30949689089881288</v>
      </c>
      <c r="BF172" s="151">
        <v>0.23463356973995272</v>
      </c>
      <c r="BG172" s="151">
        <v>0.41322781232334654</v>
      </c>
      <c r="BH172" s="151">
        <v>0.74400386240855743</v>
      </c>
      <c r="BI172" s="151">
        <v>1.2785388127853882E-2</v>
      </c>
      <c r="BJ172" s="151">
        <v>7.2146118721461192E-2</v>
      </c>
      <c r="BK172" s="151">
        <v>3.9146410401356697E-2</v>
      </c>
      <c r="BL172" s="151">
        <v>0.13298473713962691</v>
      </c>
      <c r="BM172" s="151">
        <v>0.49738428379102861</v>
      </c>
      <c r="BN172" s="165">
        <v>98.922888582145703</v>
      </c>
      <c r="BO172" s="168">
        <v>-25.829739290985717</v>
      </c>
      <c r="BP172" s="9"/>
    </row>
    <row r="173" spans="1:68" x14ac:dyDescent="0.2">
      <c r="A173" s="9"/>
      <c r="B173" s="3">
        <v>1947</v>
      </c>
      <c r="C173" s="51" t="s">
        <v>238</v>
      </c>
      <c r="D173" s="26">
        <v>0.84499999999999997</v>
      </c>
      <c r="E173" s="71">
        <f>(T173-W173)/(R173-W173-Z173+AD173)</f>
        <v>0.31765109890109888</v>
      </c>
      <c r="F173" s="71">
        <f>AA173/Q173</f>
        <v>0.38976338976338976</v>
      </c>
      <c r="G173" s="71">
        <f>(U173+V173+W173)/T173</f>
        <v>0.24618055555555557</v>
      </c>
      <c r="H173" s="71">
        <f>(AA173+X173)/Q173</f>
        <v>0.51291951291951288</v>
      </c>
      <c r="I173" s="71">
        <f>(AA173/R173)+((T173+Y173+AB173)/(R173+Y173+AB173+AD173))</f>
        <v>0.80446465561803726</v>
      </c>
      <c r="J173" s="71">
        <f>W173/AA173</f>
        <v>2.6670053340106682E-2</v>
      </c>
      <c r="K173" s="71">
        <f>(AC173+AD173)/AA173</f>
        <v>7.8486156972313939E-2</v>
      </c>
      <c r="L173" s="71">
        <f>Z173/Q173</f>
        <v>2.6928026928026927E-2</v>
      </c>
      <c r="M173" s="71">
        <f>(Y173+AB173)/Q173</f>
        <v>7.5141075141075139E-2</v>
      </c>
      <c r="N173" s="57">
        <f>(E173*0.7635+F173*0.7562+G173*0.75+H173*0.7248+I173*0.7021+J173*0.6285+1-K173*0.5884+1-L173*0.5276+M173*0.3663)/6.931</f>
        <v>0.52551978448548753</v>
      </c>
      <c r="O173" s="159">
        <f>N173/0.504*100</f>
        <v>104.26979850902531</v>
      </c>
      <c r="P173" s="155">
        <f>(O173-100)/100*Q173*0.3389</f>
        <v>146.16497653272341</v>
      </c>
      <c r="Q173" s="54">
        <v>10101</v>
      </c>
      <c r="R173" s="21">
        <f>Q173-Y173-AB173-AC173-AD173</f>
        <v>9033</v>
      </c>
      <c r="S173" s="19" t="s">
        <v>19</v>
      </c>
      <c r="T173" s="19">
        <v>2880</v>
      </c>
      <c r="U173" s="19">
        <v>466</v>
      </c>
      <c r="V173" s="19">
        <v>138</v>
      </c>
      <c r="W173" s="19">
        <v>105</v>
      </c>
      <c r="X173" s="19">
        <v>1244</v>
      </c>
      <c r="Y173" s="54">
        <v>728</v>
      </c>
      <c r="Z173" s="19">
        <v>272</v>
      </c>
      <c r="AA173" s="54">
        <f>T173+U173+V173*2+W173*3</f>
        <v>3937</v>
      </c>
      <c r="AB173" s="19">
        <v>31</v>
      </c>
      <c r="AC173" s="19">
        <v>229</v>
      </c>
      <c r="AD173" s="21">
        <v>80</v>
      </c>
      <c r="AE173" s="9"/>
      <c r="AF173" s="37"/>
      <c r="AG173" s="37"/>
      <c r="AH173" s="37"/>
      <c r="AI173" s="37"/>
      <c r="AJ173" s="37"/>
      <c r="AK173" s="38"/>
      <c r="AL173" s="37"/>
      <c r="AM173" s="38"/>
      <c r="BB173" s="9"/>
      <c r="BC173" s="150" t="s">
        <v>81</v>
      </c>
      <c r="BD173" s="151">
        <v>0.26901590030081651</v>
      </c>
      <c r="BE173" s="151">
        <v>0.3398973624537534</v>
      </c>
      <c r="BF173" s="151">
        <v>0.24503968253968253</v>
      </c>
      <c r="BG173" s="151">
        <v>0.44169948681226878</v>
      </c>
      <c r="BH173" s="151">
        <v>0.66669218589192725</v>
      </c>
      <c r="BI173" s="151">
        <v>4.8455056179775281E-2</v>
      </c>
      <c r="BJ173" s="151">
        <v>5.5126404494382025E-2</v>
      </c>
      <c r="BK173" s="151">
        <v>8.425826470939253E-2</v>
      </c>
      <c r="BL173" s="151">
        <v>5.5734574531567015E-2</v>
      </c>
      <c r="BM173" s="151">
        <v>0.49176319428984988</v>
      </c>
      <c r="BN173" s="165">
        <v>98.886626641835889</v>
      </c>
      <c r="BO173" s="168">
        <v>-31.615829742345461</v>
      </c>
      <c r="BP173" s="9"/>
    </row>
    <row r="174" spans="1:68" x14ac:dyDescent="0.2">
      <c r="A174" s="9"/>
      <c r="B174" s="3">
        <v>1970</v>
      </c>
      <c r="C174" s="51" t="s">
        <v>185</v>
      </c>
      <c r="D174" s="26" t="s">
        <v>19</v>
      </c>
      <c r="E174" s="71">
        <f>(T174-W174)/(R174-W174-Z174+AD174)</f>
        <v>0.33376407605685804</v>
      </c>
      <c r="F174" s="71">
        <f>AA174/Q174</f>
        <v>0.40789069696039298</v>
      </c>
      <c r="G174" s="71">
        <f>(U174+V174+W174)/T174</f>
        <v>0.27920685959271169</v>
      </c>
      <c r="H174" s="71">
        <f>(AA174+X174)/Q174</f>
        <v>0.50506601166717835</v>
      </c>
      <c r="I174" s="71">
        <f>(AA174/R174)+((T174+Y174+AB174)/(R174+Y174+AB174+AD174))</f>
        <v>0.86240542165656153</v>
      </c>
      <c r="J174" s="71">
        <f>W174/AA174</f>
        <v>2.1829130598419271E-2</v>
      </c>
      <c r="K174" s="71">
        <f>(AC174+AD174)/AA174</f>
        <v>4.7045540082800152E-2</v>
      </c>
      <c r="L174" s="71">
        <f>Z174/Q174</f>
        <v>4.2677310408351245E-2</v>
      </c>
      <c r="M174" s="71">
        <f>(Y174+AB174)/Q174</f>
        <v>0.10546515198035002</v>
      </c>
      <c r="N174" s="57">
        <f>(E174*0.7635+F174*0.7562+G174*0.75+H174*0.7248+I174*0.7021+J174*0.6285+1-K174*0.5884+1-L174*0.5276+M174*0.3663)/6.931</f>
        <v>0.54052820698343385</v>
      </c>
      <c r="O174" s="64">
        <f>N174/0.507*100</f>
        <v>106.61305857661416</v>
      </c>
      <c r="P174" s="155">
        <f>(O174-100)/100*Q174*0.3389</f>
        <v>145.98952403217118</v>
      </c>
      <c r="Q174" s="54">
        <v>6514</v>
      </c>
      <c r="R174" s="21">
        <f>Q174-Y174-AB174-AC174-AD174</f>
        <v>5702</v>
      </c>
      <c r="S174" s="20" t="s">
        <v>19</v>
      </c>
      <c r="T174" s="19">
        <v>1866</v>
      </c>
      <c r="U174" s="19">
        <v>309</v>
      </c>
      <c r="V174" s="19">
        <v>154</v>
      </c>
      <c r="W174" s="19">
        <v>58</v>
      </c>
      <c r="X174" s="19">
        <v>633</v>
      </c>
      <c r="Y174" s="54">
        <v>670</v>
      </c>
      <c r="Z174" s="19">
        <v>278</v>
      </c>
      <c r="AA174" s="54">
        <f>T174+U174+V174*2+W174*3</f>
        <v>2657</v>
      </c>
      <c r="AB174" s="19">
        <v>17</v>
      </c>
      <c r="AC174" s="19">
        <v>74</v>
      </c>
      <c r="AD174" s="21">
        <v>51</v>
      </c>
      <c r="AE174" s="9"/>
      <c r="AF174" s="37"/>
      <c r="AG174" s="37"/>
      <c r="AH174" s="37"/>
      <c r="AI174" s="37"/>
      <c r="AJ174" s="37"/>
      <c r="AK174" s="38"/>
      <c r="AL174" s="37"/>
      <c r="AM174" s="38"/>
      <c r="BB174" s="9"/>
      <c r="BC174" s="150" t="s">
        <v>102</v>
      </c>
      <c r="BD174" s="151">
        <v>0.32695272353545735</v>
      </c>
      <c r="BE174" s="151">
        <v>0.32823251514840301</v>
      </c>
      <c r="BF174" s="151">
        <v>0.17676767676767677</v>
      </c>
      <c r="BG174" s="151">
        <v>0.38841532299476222</v>
      </c>
      <c r="BH174" s="151">
        <v>0.77985295721796799</v>
      </c>
      <c r="BI174" s="151">
        <v>9.0738423028785976E-3</v>
      </c>
      <c r="BJ174" s="151">
        <v>5.0688360450563207E-2</v>
      </c>
      <c r="BK174" s="151">
        <v>5.8642292287152099E-2</v>
      </c>
      <c r="BL174" s="151">
        <v>0.12745198726507137</v>
      </c>
      <c r="BM174" s="151">
        <v>0.49792174945063949</v>
      </c>
      <c r="BN174" s="165">
        <v>98.598366227849397</v>
      </c>
      <c r="BO174" s="168">
        <v>-46.252082545629712</v>
      </c>
      <c r="BP174" s="9"/>
    </row>
    <row r="175" spans="1:68" x14ac:dyDescent="0.2">
      <c r="A175" s="9"/>
      <c r="B175" s="3">
        <v>1971</v>
      </c>
      <c r="C175" s="51" t="s">
        <v>180</v>
      </c>
      <c r="D175" s="26" t="s">
        <v>19</v>
      </c>
      <c r="E175" s="71">
        <f>(T175-W175)/(R175-W175-Z175+AD175)</f>
        <v>0.29297880161744883</v>
      </c>
      <c r="F175" s="71">
        <f>AA175/Q175</f>
        <v>0.33083584703707308</v>
      </c>
      <c r="G175" s="71">
        <f>(U175+V175+W175)/T175</f>
        <v>0.25304136253041365</v>
      </c>
      <c r="H175" s="71">
        <f>(AA175+X175)/Q175</f>
        <v>0.41023645032597061</v>
      </c>
      <c r="I175" s="71">
        <f>(AA175/R175)+((T175+Y175+AB175)/(R175+Y175+AB175+AD175))</f>
        <v>0.75593859520465512</v>
      </c>
      <c r="J175" s="71">
        <f>W175/AA175</f>
        <v>2.2058823529411766E-2</v>
      </c>
      <c r="K175" s="71">
        <f>(AC175+AD175)/AA175</f>
        <v>9.7058823529411767E-2</v>
      </c>
      <c r="L175" s="71">
        <f>Z175/Q175</f>
        <v>5.6631312639875447E-2</v>
      </c>
      <c r="M175" s="71">
        <f>(Y175+AB175)/Q175</f>
        <v>0.11793324900262722</v>
      </c>
      <c r="N175" s="57">
        <f>(E175*0.7635+F175*0.7562+G175*0.75+H175*0.7248+I175*0.7021+J175*0.6285+1-K175*0.5884+1-L175*0.5276+M175*0.3663)/6.931</f>
        <v>0.49946719069917933</v>
      </c>
      <c r="O175" s="64">
        <f>N175/0.48*100</f>
        <v>104.05566472899569</v>
      </c>
      <c r="P175" s="155">
        <f>(O175-100)/100*Q175*0.3389</f>
        <v>141.25374509700296</v>
      </c>
      <c r="Q175" s="54">
        <v>10277</v>
      </c>
      <c r="R175" s="21">
        <f>Q175-Y175-AB175-AC175-AD175</f>
        <v>8735</v>
      </c>
      <c r="S175" s="20" t="s">
        <v>19</v>
      </c>
      <c r="T175" s="19">
        <v>2466</v>
      </c>
      <c r="U175" s="19">
        <v>389</v>
      </c>
      <c r="V175" s="19">
        <v>160</v>
      </c>
      <c r="W175" s="19">
        <v>75</v>
      </c>
      <c r="X175" s="19">
        <v>816</v>
      </c>
      <c r="Y175" s="54">
        <v>1136</v>
      </c>
      <c r="Z175" s="19">
        <v>582</v>
      </c>
      <c r="AA175" s="54">
        <f>T175+U175+V175*2+W175*3</f>
        <v>3400</v>
      </c>
      <c r="AB175" s="19">
        <v>76</v>
      </c>
      <c r="AC175" s="19">
        <v>247</v>
      </c>
      <c r="AD175" s="21">
        <v>83</v>
      </c>
      <c r="AE175" s="9"/>
      <c r="AF175" s="37"/>
      <c r="AG175" s="37"/>
      <c r="AH175" s="37"/>
      <c r="AI175" s="37"/>
      <c r="AJ175" s="37"/>
      <c r="AK175" s="38"/>
      <c r="AL175" s="37"/>
      <c r="AM175" s="38"/>
      <c r="BB175" s="9"/>
      <c r="BC175" s="150" t="s">
        <v>177</v>
      </c>
      <c r="BD175" s="151">
        <v>0.29569650622282201</v>
      </c>
      <c r="BE175" s="151">
        <v>0.312</v>
      </c>
      <c r="BF175" s="151">
        <v>0.21407185628742514</v>
      </c>
      <c r="BG175" s="151">
        <v>0.38363636363636361</v>
      </c>
      <c r="BH175" s="151">
        <v>0.71647878139075283</v>
      </c>
      <c r="BI175" s="151">
        <v>1.2432012432012432E-2</v>
      </c>
      <c r="BJ175" s="151">
        <v>0.108003108003108</v>
      </c>
      <c r="BK175" s="151">
        <v>5.903030303030303E-2</v>
      </c>
      <c r="BL175" s="151">
        <v>0.10303030303030303</v>
      </c>
      <c r="BM175" s="151">
        <v>0.48394345212530376</v>
      </c>
      <c r="BN175" s="165">
        <v>98.282585728128296</v>
      </c>
      <c r="BO175" s="168">
        <v>-48.017614980828931</v>
      </c>
      <c r="BP175" s="9"/>
    </row>
    <row r="176" spans="1:68" x14ac:dyDescent="0.2">
      <c r="A176" s="9"/>
      <c r="B176" s="3">
        <v>1996</v>
      </c>
      <c r="C176" s="106" t="s">
        <v>100</v>
      </c>
      <c r="D176" s="98" t="s">
        <v>19</v>
      </c>
      <c r="E176" s="99">
        <f>(T176-W176)/(R176-W176-Z176+AD176)</f>
        <v>0.30279652844744454</v>
      </c>
      <c r="F176" s="99">
        <f>AA176/Q176</f>
        <v>0.30259265703845484</v>
      </c>
      <c r="G176" s="99">
        <f>(U176+V176+W176)/T176</f>
        <v>0.26619828259172523</v>
      </c>
      <c r="H176" s="99">
        <f>(AA176+S176)/Q176</f>
        <v>0.40247085435879587</v>
      </c>
      <c r="I176" s="99">
        <f>(AA176/R176)+((T176+Y176+AB176)/(R176+Y176+AB176+AD176))</f>
        <v>0.66449903813910804</v>
      </c>
      <c r="J176" s="99">
        <f>W176/AA176</f>
        <v>1.437607820586544E-2</v>
      </c>
      <c r="K176" s="99">
        <f>(AC176+AD176)/AA176</f>
        <v>0.1046578493387004</v>
      </c>
      <c r="L176" s="99">
        <f>Z176/Q176</f>
        <v>0.16043152949364886</v>
      </c>
      <c r="M176" s="99">
        <f>(Y176+AB176)/Q176</f>
        <v>8.96119714633722E-2</v>
      </c>
      <c r="N176" s="100">
        <f>(1-E176*0.7635+1-F176*0.7562+1-G176*0.75+1-H176*0.7248+1-I176*0.7021+1-J176*0.6285+K176*0.5884+L176*0.5276+1-M176*0.3663)/11.068</f>
        <v>0.51377430833300508</v>
      </c>
      <c r="O176" s="105">
        <f>N176/0.4955*100</f>
        <v>103.6880541539869</v>
      </c>
      <c r="P176" s="102">
        <f>(O176-100)/100*Q176*0.6611</f>
        <v>140.12177939100641</v>
      </c>
      <c r="Q176" s="21">
        <v>5747</v>
      </c>
      <c r="R176" s="21">
        <f>Q176-Y176-AB176-AC176-AD176</f>
        <v>5050</v>
      </c>
      <c r="S176" s="19">
        <v>574</v>
      </c>
      <c r="T176" s="19">
        <v>1281</v>
      </c>
      <c r="U176" s="21">
        <v>249</v>
      </c>
      <c r="V176" s="21">
        <v>67</v>
      </c>
      <c r="W176" s="19">
        <v>25</v>
      </c>
      <c r="X176" s="19" t="s">
        <v>19</v>
      </c>
      <c r="Y176" s="54">
        <v>477</v>
      </c>
      <c r="Z176" s="19">
        <v>922</v>
      </c>
      <c r="AA176" s="21">
        <f>T176+U176+V176*2+W176*3</f>
        <v>1739</v>
      </c>
      <c r="AB176" s="54">
        <v>38</v>
      </c>
      <c r="AC176" s="21">
        <v>137</v>
      </c>
      <c r="AD176" s="21">
        <v>45</v>
      </c>
      <c r="AE176" s="9"/>
      <c r="AF176" s="37"/>
      <c r="AG176" s="37"/>
      <c r="AH176" s="37"/>
      <c r="AI176" s="37"/>
      <c r="AJ176" s="37"/>
      <c r="AK176" s="38"/>
      <c r="AL176" s="37"/>
      <c r="AM176" s="38"/>
      <c r="BB176" s="9"/>
      <c r="BC176" s="150" t="s">
        <v>105</v>
      </c>
      <c r="BD176" s="151">
        <v>0.28756957328385901</v>
      </c>
      <c r="BE176" s="151">
        <v>0.30733740139901772</v>
      </c>
      <c r="BF176" s="151">
        <v>0.21347607052896725</v>
      </c>
      <c r="BG176" s="151">
        <v>0.3911296323857717</v>
      </c>
      <c r="BH176" s="151">
        <v>0.70823529574117794</v>
      </c>
      <c r="BI176" s="151">
        <v>1.8401937046004842E-2</v>
      </c>
      <c r="BJ176" s="151">
        <v>0.11864406779661017</v>
      </c>
      <c r="BK176" s="151">
        <v>5.9235005209108502E-2</v>
      </c>
      <c r="BL176" s="151">
        <v>0.10418216996576872</v>
      </c>
      <c r="BM176" s="151">
        <v>0.48210686939575825</v>
      </c>
      <c r="BN176" s="165">
        <v>96.267346125351082</v>
      </c>
      <c r="BO176" s="168">
        <v>-84.995107989583232</v>
      </c>
      <c r="BP176" s="9"/>
    </row>
    <row r="177" spans="1:68" x14ac:dyDescent="0.2">
      <c r="A177" s="9"/>
      <c r="B177" s="3">
        <v>2019</v>
      </c>
      <c r="C177" s="106" t="s">
        <v>28</v>
      </c>
      <c r="D177" s="98" t="s">
        <v>19</v>
      </c>
      <c r="E177" s="99">
        <f>(T177-W177)/(R177-W177-Z177+AD177)</f>
        <v>0.29922613929492692</v>
      </c>
      <c r="F177" s="99">
        <f>AA177/Q177</f>
        <v>0.3032665181885672</v>
      </c>
      <c r="G177" s="99">
        <f>(U177+V177+W177)/T177</f>
        <v>0.26037069726390116</v>
      </c>
      <c r="H177" s="99">
        <f>(AA177+S177)/Q177</f>
        <v>0.39142538975501112</v>
      </c>
      <c r="I177" s="99">
        <f>(AA177/R177)+((T177+Y177+AB177)/(R177+Y177+AB177+AD177))</f>
        <v>0.64697163989992978</v>
      </c>
      <c r="J177" s="99">
        <f>W177/AA177</f>
        <v>5.4467564259485922E-2</v>
      </c>
      <c r="K177" s="99">
        <f>(AC177+AD177)/AA177</f>
        <v>6.1811505507955937E-2</v>
      </c>
      <c r="L177" s="99">
        <f>Z177/Q177</f>
        <v>0.23218262806236081</v>
      </c>
      <c r="M177" s="99">
        <f>(Y177+AB177)/Q177</f>
        <v>9.2056421677802522E-2</v>
      </c>
      <c r="N177" s="100">
        <f>(1-E177*0.7635+1-F177*0.7562+1-G177*0.75+1-H177*0.7248+1-I177*0.7021+1-J177*0.6285+K177*0.5884+L177*0.5276+1-M177*0.3663)/11.068</f>
        <v>0.51498961698472612</v>
      </c>
      <c r="O177" s="105">
        <f>N177/0.4955*100</f>
        <v>103.93332330670557</v>
      </c>
      <c r="P177" s="102">
        <f>(O177-100)/100*Q177*0.6611</f>
        <v>140.10524365083742</v>
      </c>
      <c r="Q177" s="54">
        <v>5388</v>
      </c>
      <c r="R177" s="54">
        <f>Q177-Y177-AB177-AC177-AD177</f>
        <v>4791</v>
      </c>
      <c r="S177" s="19">
        <v>475</v>
      </c>
      <c r="T177" s="19">
        <v>1133</v>
      </c>
      <c r="U177" s="19">
        <v>178</v>
      </c>
      <c r="V177" s="19">
        <v>28</v>
      </c>
      <c r="W177" s="19">
        <v>89</v>
      </c>
      <c r="X177" s="19" t="s">
        <v>19</v>
      </c>
      <c r="Y177" s="54">
        <v>486</v>
      </c>
      <c r="Z177" s="19">
        <v>1251</v>
      </c>
      <c r="AA177" s="54">
        <f>T177+U177+V177*2+W177*3</f>
        <v>1634</v>
      </c>
      <c r="AB177" s="19">
        <v>10</v>
      </c>
      <c r="AC177" s="19">
        <v>63</v>
      </c>
      <c r="AD177" s="19">
        <v>38</v>
      </c>
      <c r="AE177" s="9"/>
      <c r="AF177" s="37"/>
      <c r="AG177" s="37"/>
      <c r="AH177" s="37"/>
      <c r="AI177" s="37"/>
      <c r="AJ177" s="37"/>
      <c r="AK177" s="38"/>
      <c r="AL177" s="37"/>
      <c r="AM177" s="38"/>
      <c r="BB177" s="9"/>
      <c r="BC177" s="150" t="s">
        <v>228</v>
      </c>
      <c r="BD177" s="151">
        <v>0.28306582057981833</v>
      </c>
      <c r="BE177" s="151">
        <v>0.32083116883116886</v>
      </c>
      <c r="BF177" s="151">
        <v>0.24599393676916415</v>
      </c>
      <c r="BG177" s="151">
        <v>0.4372987012987013</v>
      </c>
      <c r="BH177" s="151">
        <v>0.6921897561489464</v>
      </c>
      <c r="BI177" s="151">
        <v>1.1010362694300517E-2</v>
      </c>
      <c r="BJ177" s="151">
        <v>8.1282383419689117E-2</v>
      </c>
      <c r="BK177" s="151">
        <v>5.8181818181818182E-2</v>
      </c>
      <c r="BL177" s="151">
        <v>8.5298701298701304E-2</v>
      </c>
      <c r="BM177" s="151">
        <v>0.49138809818429929</v>
      </c>
      <c r="BN177" s="165">
        <v>97.169882970990557</v>
      </c>
      <c r="BO177" s="168">
        <v>-92.315941133887648</v>
      </c>
      <c r="BP177" s="9"/>
    </row>
    <row r="178" spans="1:68" x14ac:dyDescent="0.2">
      <c r="A178" s="9"/>
      <c r="B178" s="3">
        <v>1972</v>
      </c>
      <c r="C178" s="51" t="s">
        <v>176</v>
      </c>
      <c r="D178" s="26" t="s">
        <v>19</v>
      </c>
      <c r="E178" s="71">
        <f>(T178-W178)/(R178-W178-Z178+AD178)</f>
        <v>0.34508216241962369</v>
      </c>
      <c r="F178" s="71">
        <f>AA178/Q178</f>
        <v>0.38204984073449505</v>
      </c>
      <c r="G178" s="71">
        <f>(U178+V178+W178)/T178</f>
        <v>0.24882629107981222</v>
      </c>
      <c r="H178" s="71">
        <f>(AA178+X178)/Q178</f>
        <v>0.492973580663294</v>
      </c>
      <c r="I178" s="71">
        <f>(AA178/R178)+((T178+Y178+AB178)/(R178+Y178+AB178+AD178))</f>
        <v>0.84275398594675255</v>
      </c>
      <c r="J178" s="71">
        <f>W178/AA178</f>
        <v>2.0598332515939184E-2</v>
      </c>
      <c r="K178" s="71">
        <f>(AC178+AD178)/AA178</f>
        <v>7.9941147621383032E-2</v>
      </c>
      <c r="L178" s="71">
        <f>Z178/Q178</f>
        <v>7.3074761101742547E-2</v>
      </c>
      <c r="M178" s="71">
        <f>(Y178+AB178)/Q178</f>
        <v>0.10998688401723815</v>
      </c>
      <c r="N178" s="57">
        <f>(E178*0.7635+F178*0.7562+G178*0.75+H178*0.7248+I178*0.7021+J178*0.6285+1-K178*0.5884+1-L178*0.5276+M178*0.3663)/6.931</f>
        <v>0.52743377522186108</v>
      </c>
      <c r="O178" s="64">
        <f>N178/0.4904*100</f>
        <v>107.55174861783463</v>
      </c>
      <c r="P178" s="155">
        <f>(O178-100)/100*Q178*0.3389</f>
        <v>136.58917956339644</v>
      </c>
      <c r="Q178" s="54">
        <v>5337</v>
      </c>
      <c r="R178" s="21">
        <f>Q178-Y178-AB178-AC178-AD178</f>
        <v>4587</v>
      </c>
      <c r="S178" s="20" t="s">
        <v>19</v>
      </c>
      <c r="T178" s="19">
        <v>1491</v>
      </c>
      <c r="U178" s="19">
        <v>236</v>
      </c>
      <c r="V178" s="19">
        <v>93</v>
      </c>
      <c r="W178" s="19">
        <v>42</v>
      </c>
      <c r="X178" s="19">
        <v>592</v>
      </c>
      <c r="Y178" s="54">
        <v>550</v>
      </c>
      <c r="Z178" s="19">
        <v>390</v>
      </c>
      <c r="AA178" s="54">
        <f>T178+U178+V178*2+W178*3</f>
        <v>2039</v>
      </c>
      <c r="AB178" s="19">
        <v>37</v>
      </c>
      <c r="AC178" s="19">
        <v>119</v>
      </c>
      <c r="AD178" s="21">
        <v>44</v>
      </c>
      <c r="AE178" s="9"/>
      <c r="AF178" s="37"/>
      <c r="AG178" s="37"/>
      <c r="AH178" s="37"/>
      <c r="AI178" s="37"/>
      <c r="AJ178" s="37"/>
      <c r="AK178" s="38"/>
      <c r="AL178" s="37"/>
      <c r="AM178" s="38"/>
      <c r="BB178" s="9"/>
      <c r="BC178" s="150" t="s">
        <v>244</v>
      </c>
      <c r="BD178" s="151">
        <v>0.28144224196855777</v>
      </c>
      <c r="BE178" s="151">
        <v>0.28367911479944674</v>
      </c>
      <c r="BF178" s="151">
        <v>0.17962628089210367</v>
      </c>
      <c r="BG178" s="151">
        <v>0.35781466113416321</v>
      </c>
      <c r="BH178" s="151">
        <v>0.69126248783537925</v>
      </c>
      <c r="BI178" s="151">
        <v>5.8508044856167727E-3</v>
      </c>
      <c r="BJ178" s="151">
        <v>0.15260848366650415</v>
      </c>
      <c r="BK178" s="151">
        <v>4.0525587828492395E-2</v>
      </c>
      <c r="BL178" s="151">
        <v>0.11300138312586445</v>
      </c>
      <c r="BM178" s="151">
        <v>0.46785340837587719</v>
      </c>
      <c r="BN178" s="165">
        <v>95.519274882784231</v>
      </c>
      <c r="BO178" s="168">
        <v>-109.78883276282586</v>
      </c>
      <c r="BP178" s="9"/>
    </row>
    <row r="179" spans="1:68" x14ac:dyDescent="0.2">
      <c r="A179" s="9"/>
      <c r="B179" s="3">
        <v>1992</v>
      </c>
      <c r="C179" s="106" t="s">
        <v>108</v>
      </c>
      <c r="D179" s="98">
        <v>0.81200000000000006</v>
      </c>
      <c r="E179" s="99">
        <f>(T179-W179)/(R179-W179-Z179+AD179)</f>
        <v>0.27543323139653414</v>
      </c>
      <c r="F179" s="99">
        <f>AA179/Q179</f>
        <v>0.30662824207492795</v>
      </c>
      <c r="G179" s="99">
        <f>(U179+V179+W179)/T179</f>
        <v>0.25440976933514248</v>
      </c>
      <c r="H179" s="99">
        <f>(AA179+S179)/Q179</f>
        <v>0.39524495677233429</v>
      </c>
      <c r="I179" s="99">
        <f>(AA179/R179)+((T179+Y179+AB179)/(R179+Y179+AB179+AD179))</f>
        <v>0.63224109644016901</v>
      </c>
      <c r="J179" s="99">
        <f>W179/AA179</f>
        <v>5.7800751879699248E-2</v>
      </c>
      <c r="K179" s="99">
        <f>(AC179+AD179)/AA179</f>
        <v>6.9548872180451124E-2</v>
      </c>
      <c r="L179" s="99">
        <f>Z179/Q179</f>
        <v>0.18717579250720462</v>
      </c>
      <c r="M179" s="99">
        <f>(Y179+AB179)/Q179</f>
        <v>7.6512968299711812E-2</v>
      </c>
      <c r="N179" s="100">
        <f>(1-E179*0.7635+1-F179*0.7562+1-G179*0.75+1-H179*0.7248+1-I179*0.7021+1-J179*0.6285+K179*0.5884+L179*0.5276+1-M179*0.3663)/11.068</f>
        <v>0.51608051476005623</v>
      </c>
      <c r="O179" s="101">
        <f>N179/0.5018*100</f>
        <v>102.84585786370191</v>
      </c>
      <c r="P179" s="102">
        <f>(O179-100)/100*Q179*0.6611</f>
        <v>130.56892637831723</v>
      </c>
      <c r="Q179" s="54">
        <v>6940</v>
      </c>
      <c r="R179" s="54">
        <f>Q179-Y179-AB179-AC179-AD179</f>
        <v>6261</v>
      </c>
      <c r="S179" s="19">
        <v>615</v>
      </c>
      <c r="T179" s="19">
        <v>1474</v>
      </c>
      <c r="U179" s="19">
        <v>219</v>
      </c>
      <c r="V179" s="19">
        <v>33</v>
      </c>
      <c r="W179" s="19">
        <v>123</v>
      </c>
      <c r="X179" s="19" t="s">
        <v>19</v>
      </c>
      <c r="Y179" s="54">
        <v>492</v>
      </c>
      <c r="Z179" s="19">
        <v>1299</v>
      </c>
      <c r="AA179" s="54">
        <f>T179+U179+V179*2+W179*3</f>
        <v>2128</v>
      </c>
      <c r="AB179" s="19">
        <v>39</v>
      </c>
      <c r="AC179" s="19">
        <v>82</v>
      </c>
      <c r="AD179" s="19">
        <v>66</v>
      </c>
      <c r="AE179" s="9"/>
      <c r="AF179" s="37"/>
      <c r="AG179" s="37"/>
      <c r="AH179" s="37"/>
      <c r="AI179" s="37"/>
      <c r="AJ179" s="37"/>
      <c r="AK179" s="38"/>
      <c r="AL179" s="37"/>
      <c r="AM179" s="38"/>
      <c r="BB179" s="9"/>
      <c r="BC179" s="150" t="s">
        <v>97</v>
      </c>
      <c r="BD179" s="151">
        <v>0.29099767467611559</v>
      </c>
      <c r="BE179" s="151">
        <v>0.3233504009274466</v>
      </c>
      <c r="BF179" s="151">
        <v>0.18850920015020653</v>
      </c>
      <c r="BG179" s="151">
        <v>0.39967152932083855</v>
      </c>
      <c r="BH179" s="151">
        <v>0.71080161014825949</v>
      </c>
      <c r="BI179" s="151">
        <v>1.0457125784284434E-2</v>
      </c>
      <c r="BJ179" s="151">
        <v>8.3358231251867337E-2</v>
      </c>
      <c r="BK179" s="151">
        <v>2.0867549029079314E-2</v>
      </c>
      <c r="BL179" s="151">
        <v>8.3180369046468944E-2</v>
      </c>
      <c r="BM179" s="151">
        <v>0.48676893715868474</v>
      </c>
      <c r="BN179" s="165">
        <v>96.773148540493978</v>
      </c>
      <c r="BO179" s="168">
        <v>-113.19646162094841</v>
      </c>
      <c r="BP179" s="9"/>
    </row>
    <row r="180" spans="1:68" x14ac:dyDescent="0.2">
      <c r="A180" s="9"/>
      <c r="B180" s="3">
        <v>1946</v>
      </c>
      <c r="C180" s="51" t="s">
        <v>242</v>
      </c>
      <c r="D180" s="26" t="s">
        <v>19</v>
      </c>
      <c r="E180" s="71">
        <f>(T180-W180)/(R180-W180-Z180+AD180)</f>
        <v>0.31420696567276374</v>
      </c>
      <c r="F180" s="71">
        <f>AA180/Q180</f>
        <v>0.32950340798442063</v>
      </c>
      <c r="G180" s="71">
        <f>(U180+V180+W180)/T180</f>
        <v>0.23469387755102042</v>
      </c>
      <c r="H180" s="71">
        <f>(AA180+X180)/Q180</f>
        <v>0.44556962025316454</v>
      </c>
      <c r="I180" s="71">
        <f>(AA180/R180)+((T180+Y180+AB180)/(R180+Y180+AB180+AD180))</f>
        <v>0.78592629504253708</v>
      </c>
      <c r="J180" s="71">
        <f>W180/AA180</f>
        <v>1.1820330969267139E-2</v>
      </c>
      <c r="K180" s="71">
        <f>(AC180+AD180)/AA180</f>
        <v>8.9834515366430265E-2</v>
      </c>
      <c r="L180" s="71">
        <f>Z180/Q180</f>
        <v>6.2317429406037003E-2</v>
      </c>
      <c r="M180" s="71">
        <f>(Y180+AB180)/Q180</f>
        <v>0.13495618305744889</v>
      </c>
      <c r="N180" s="57">
        <f>(E180*0.7635+F180*0.7562+G180*0.75+H180*0.7248+I180*0.7021+J180*0.6285+1-K180*0.5884+1-L180*0.5276+M180*0.3663)/6.931</f>
        <v>0.50655920348477756</v>
      </c>
      <c r="O180" s="64">
        <f>N180/0.4714*100</f>
        <v>107.45846488858244</v>
      </c>
      <c r="P180" s="155">
        <f>(O180-100)/100*Q180*0.3389</f>
        <v>129.79604710052922</v>
      </c>
      <c r="Q180" s="54">
        <v>5135</v>
      </c>
      <c r="R180" s="21">
        <f>Q180-Y180-AB180-AC180-AD180</f>
        <v>4290</v>
      </c>
      <c r="S180" s="19" t="s">
        <v>19</v>
      </c>
      <c r="T180" s="19">
        <v>1274</v>
      </c>
      <c r="U180" s="19">
        <v>200</v>
      </c>
      <c r="V180" s="19">
        <v>79</v>
      </c>
      <c r="W180" s="19">
        <v>20</v>
      </c>
      <c r="X180" s="19">
        <v>596</v>
      </c>
      <c r="Y180" s="54">
        <v>556</v>
      </c>
      <c r="Z180" s="19">
        <v>320</v>
      </c>
      <c r="AA180" s="54">
        <f>T180+U180+V180*2+W180*3</f>
        <v>1692</v>
      </c>
      <c r="AB180" s="19">
        <v>137</v>
      </c>
      <c r="AC180" s="19">
        <v>111</v>
      </c>
      <c r="AD180" s="21">
        <v>41</v>
      </c>
      <c r="AE180" s="9"/>
      <c r="AF180" s="37"/>
      <c r="AG180" s="37"/>
      <c r="AH180" s="37"/>
      <c r="AI180" s="37"/>
      <c r="AJ180" s="37"/>
      <c r="AK180" s="38"/>
      <c r="AL180" s="37"/>
      <c r="AM180" s="38"/>
      <c r="BB180" s="9"/>
      <c r="BC180" s="150" t="s">
        <v>222</v>
      </c>
      <c r="BD180" s="151">
        <v>0.27715637771563778</v>
      </c>
      <c r="BE180" s="151">
        <v>0.30399644760213146</v>
      </c>
      <c r="BF180" s="151">
        <v>0.22456813819577734</v>
      </c>
      <c r="BG180" s="151">
        <v>0.38250444049733573</v>
      </c>
      <c r="BH180" s="151">
        <v>0.66033174864741084</v>
      </c>
      <c r="BI180" s="151">
        <v>8.1799591002044997E-3</v>
      </c>
      <c r="BJ180" s="151">
        <v>0.11364300321355536</v>
      </c>
      <c r="BK180" s="151">
        <v>6.7140319715808167E-2</v>
      </c>
      <c r="BL180" s="151">
        <v>7.797513321492007E-2</v>
      </c>
      <c r="BM180" s="151">
        <v>0.47355184976561204</v>
      </c>
      <c r="BN180" s="165">
        <v>96.309101030224127</v>
      </c>
      <c r="BO180" s="168">
        <v>-140.84522141250307</v>
      </c>
      <c r="BP180" s="9"/>
    </row>
    <row r="181" spans="1:68" x14ac:dyDescent="0.2">
      <c r="A181" s="9"/>
      <c r="B181" s="3">
        <v>1985</v>
      </c>
      <c r="C181" s="51" t="s">
        <v>125</v>
      </c>
      <c r="D181" s="26">
        <v>0.79700000000000004</v>
      </c>
      <c r="E181" s="71">
        <f>(T181-W181)/(R181-W181-Z181+AD181)</f>
        <v>0.33795860771401692</v>
      </c>
      <c r="F181" s="71">
        <f>AA181/Q181</f>
        <v>0.37704626334519575</v>
      </c>
      <c r="G181" s="71">
        <f>(U181+V181+W181)/T181</f>
        <v>0.25669864373139267</v>
      </c>
      <c r="H181" s="71">
        <f>(AA181+X181)/Q181</f>
        <v>0.45711743772241992</v>
      </c>
      <c r="I181" s="71">
        <f>(AA181/R181)+((T181+Y181+AB181)/(R181+Y181+AB181+AD181))</f>
        <v>0.75242972593715951</v>
      </c>
      <c r="J181" s="71">
        <f>W181/AA181</f>
        <v>3.5158093440302032E-2</v>
      </c>
      <c r="K181" s="71">
        <f>(AC181+AD181)/AA181</f>
        <v>2.19443133553563E-2</v>
      </c>
      <c r="L181" s="71">
        <f>Z181/Q181</f>
        <v>0.15391459074733096</v>
      </c>
      <c r="M181" s="71">
        <f>(Y181+AB181)/Q181</f>
        <v>7.2064056939501783E-2</v>
      </c>
      <c r="N181" s="57">
        <f>(E181*0.7635+F181*0.7562+G181*0.75+H181*0.7248+I181*0.7021+J181*0.6285+1-K181*0.5884+1-L181*0.5276+M181*0.3663)/6.931</f>
        <v>0.51214167469327787</v>
      </c>
      <c r="O181" s="64">
        <f>N181/0.4957*100</f>
        <v>103.31685993408874</v>
      </c>
      <c r="P181" s="155">
        <f>(O181-100)/100*Q181*0.3389</f>
        <v>126.34702267888453</v>
      </c>
      <c r="Q181" s="54">
        <v>11240</v>
      </c>
      <c r="R181" s="54">
        <f>Q181-Y181-AB181-AC181-AD181</f>
        <v>10337</v>
      </c>
      <c r="S181" s="20" t="s">
        <v>19</v>
      </c>
      <c r="T181" s="19">
        <v>3023</v>
      </c>
      <c r="U181" s="19">
        <v>486</v>
      </c>
      <c r="V181" s="19">
        <v>141</v>
      </c>
      <c r="W181" s="19">
        <v>149</v>
      </c>
      <c r="X181" s="19">
        <v>900</v>
      </c>
      <c r="Y181" s="54">
        <v>761</v>
      </c>
      <c r="Z181" s="19">
        <v>1730</v>
      </c>
      <c r="AA181" s="54">
        <f>T181+U181+V181*2+W181*3</f>
        <v>4238</v>
      </c>
      <c r="AB181" s="19">
        <v>49</v>
      </c>
      <c r="AC181" s="19">
        <v>47</v>
      </c>
      <c r="AD181" s="19">
        <v>46</v>
      </c>
      <c r="AE181" s="9"/>
      <c r="AF181" s="37"/>
      <c r="AG181" s="37"/>
      <c r="AH181" s="37"/>
      <c r="AI181" s="37"/>
      <c r="AJ181" s="37"/>
      <c r="AK181" s="38"/>
      <c r="AL181" s="37"/>
      <c r="AM181" s="38"/>
      <c r="BB181" s="9"/>
      <c r="BC181" s="150" t="s">
        <v>128</v>
      </c>
      <c r="BD181" s="151">
        <v>0.27357097658721791</v>
      </c>
      <c r="BE181" s="151">
        <v>0.31199358917282521</v>
      </c>
      <c r="BF181" s="151">
        <v>0.21255136346656706</v>
      </c>
      <c r="BG181" s="151">
        <v>0.38242364882913366</v>
      </c>
      <c r="BH181" s="151">
        <v>0.65323828946105578</v>
      </c>
      <c r="BI181" s="151">
        <v>2.3687214611872145E-2</v>
      </c>
      <c r="BJ181" s="151">
        <v>6.763698630136987E-2</v>
      </c>
      <c r="BK181" s="151">
        <v>6.6067135606802593E-2</v>
      </c>
      <c r="BL181" s="151">
        <v>6.7936960199447963E-2</v>
      </c>
      <c r="BM181" s="151">
        <v>0.47686508129814803</v>
      </c>
      <c r="BN181" s="165">
        <v>95.890826723938872</v>
      </c>
      <c r="BO181" s="168">
        <v>-156.40277384000672</v>
      </c>
      <c r="BP181" s="9"/>
    </row>
    <row r="182" spans="1:68" x14ac:dyDescent="0.2">
      <c r="A182" s="9"/>
      <c r="B182" s="3">
        <v>2006</v>
      </c>
      <c r="C182" s="51" t="s">
        <v>61</v>
      </c>
      <c r="D182" s="26" t="s">
        <v>19</v>
      </c>
      <c r="E182" s="71">
        <f>(T182-W182)/(R182-W182-Z182+AD182)</f>
        <v>0.36446469248291574</v>
      </c>
      <c r="F182" s="71">
        <f>AA182/Q182</f>
        <v>0.53159173754556499</v>
      </c>
      <c r="G182" s="71">
        <f>(U182+V182+W182)/T182</f>
        <v>0.38752362948960301</v>
      </c>
      <c r="H182" s="71">
        <f>(AA182+X182)/Q182</f>
        <v>0.74665856622114213</v>
      </c>
      <c r="I182" s="71">
        <f>(AA182/R182)+((T182+Y182+AB182)/(R182+Y182+AB182+AD182))</f>
        <v>0.99070798576666397</v>
      </c>
      <c r="J182" s="71">
        <f>W182/AA182</f>
        <v>5.6000000000000001E-2</v>
      </c>
      <c r="K182" s="71">
        <f>(AC182+AD182)/AA182</f>
        <v>4.5714285714285714E-2</v>
      </c>
      <c r="L182" s="71">
        <f>Z182/Q182</f>
        <v>8.0194410692588092E-2</v>
      </c>
      <c r="M182" s="71">
        <f>(Y182+AB182)/Q182</f>
        <v>7.3511543134872417E-2</v>
      </c>
      <c r="N182" s="57">
        <f>(E182*0.7635+F182*0.7562+G182*0.75+H182*0.7248+I182*0.7021+J182*0.6285+1-K182*0.5884+1-L182*0.5276+M182*0.3663)/6.931</f>
        <v>0.60605537639854734</v>
      </c>
      <c r="O182" s="65">
        <f>N182/0.4964*100</f>
        <v>122.09012417376056</v>
      </c>
      <c r="P182" s="155">
        <f>(O182-100)/100*Q182*0.3389</f>
        <v>123.22520713774347</v>
      </c>
      <c r="Q182" s="54">
        <v>1646</v>
      </c>
      <c r="R182" s="21">
        <f>Q182-Y182-AB182-AC182-AD182</f>
        <v>1485</v>
      </c>
      <c r="S182" s="20" t="s">
        <v>19</v>
      </c>
      <c r="T182" s="19">
        <v>529</v>
      </c>
      <c r="U182" s="19">
        <v>113</v>
      </c>
      <c r="V182" s="19">
        <v>43</v>
      </c>
      <c r="W182" s="19">
        <v>49</v>
      </c>
      <c r="X182" s="19">
        <v>354</v>
      </c>
      <c r="Y182" s="54">
        <v>115</v>
      </c>
      <c r="Z182" s="21">
        <v>132</v>
      </c>
      <c r="AA182" s="54">
        <f>T182+U182+V182*2+W182*3</f>
        <v>875</v>
      </c>
      <c r="AB182" s="21">
        <v>6</v>
      </c>
      <c r="AC182" s="21">
        <v>27</v>
      </c>
      <c r="AD182" s="21">
        <v>13</v>
      </c>
      <c r="AE182" s="9"/>
      <c r="AF182" s="37"/>
      <c r="AG182" s="37"/>
      <c r="AH182" s="37"/>
      <c r="AI182" s="37"/>
      <c r="AJ182" s="37"/>
      <c r="AK182" s="38"/>
      <c r="AL182" s="37"/>
      <c r="AM182" s="38"/>
      <c r="BB182" s="9"/>
      <c r="BC182" s="150" t="s">
        <v>221</v>
      </c>
      <c r="BD182" s="151">
        <v>0.2687348912167607</v>
      </c>
      <c r="BE182" s="151">
        <v>0.2682575272261371</v>
      </c>
      <c r="BF182" s="151">
        <v>0.19256505576208177</v>
      </c>
      <c r="BG182" s="151">
        <v>0.3632286995515695</v>
      </c>
      <c r="BH182" s="151">
        <v>0.65569483643678261</v>
      </c>
      <c r="BI182" s="151">
        <v>6.5671641791044772E-3</v>
      </c>
      <c r="BJ182" s="151">
        <v>0.15761194029850747</v>
      </c>
      <c r="BK182" s="151">
        <v>5.7335041639974375E-2</v>
      </c>
      <c r="BL182" s="151">
        <v>0.11162716207559256</v>
      </c>
      <c r="BM182" s="151">
        <v>0.46142236155896266</v>
      </c>
      <c r="BN182" s="165">
        <v>92.39534672786597</v>
      </c>
      <c r="BO182" s="168">
        <v>-160.92142910075333</v>
      </c>
      <c r="BP182" s="9"/>
    </row>
    <row r="183" spans="1:68" x14ac:dyDescent="0.2">
      <c r="A183" s="9"/>
      <c r="B183" s="3">
        <v>2006</v>
      </c>
      <c r="C183" s="51" t="s">
        <v>70</v>
      </c>
      <c r="D183" s="26" t="s">
        <v>19</v>
      </c>
      <c r="E183" s="71">
        <f>(T183-W183)/(R183-W183-Z183+AD183)</f>
        <v>0.35772357723577236</v>
      </c>
      <c r="F183" s="71">
        <f>AA183/Q183</f>
        <v>0.44200982244049869</v>
      </c>
      <c r="G183" s="71">
        <f>(U183+V183+W183)/T183</f>
        <v>0.32674571805006586</v>
      </c>
      <c r="H183" s="71">
        <f>(AA183+X183)/Q183</f>
        <v>0.64223649414431427</v>
      </c>
      <c r="I183" s="71">
        <f>(AA183/R183)+((T183+Y183+AB183)/(R183+Y183+AB183+AD183))</f>
        <v>0.95591843428131718</v>
      </c>
      <c r="J183" s="71">
        <f>W183/AA183</f>
        <v>4.7008547008547008E-2</v>
      </c>
      <c r="K183" s="71">
        <f>(AC183+AD183)/AA183</f>
        <v>7.6923076923076927E-2</v>
      </c>
      <c r="L183" s="71">
        <f>Z183/Q183</f>
        <v>8.0090668681526256E-2</v>
      </c>
      <c r="M183" s="71">
        <f>(Y183+AB183)/Q183</f>
        <v>0.12958065734794105</v>
      </c>
      <c r="N183" s="57">
        <f>(E183*0.7635+F183*0.7562+G183*0.75+H183*0.7248+I183*0.7021+J183*0.6285+1-K183*0.5884+1-L183*0.5276+M183*0.3663)/6.931</f>
        <v>0.57402471540539446</v>
      </c>
      <c r="O183" s="64">
        <f>N183/0.5047*100</f>
        <v>113.73582631372983</v>
      </c>
      <c r="P183" s="155">
        <f>(O183-100)/100*Q183*0.3389</f>
        <v>123.21974360352887</v>
      </c>
      <c r="Q183" s="54">
        <v>2647</v>
      </c>
      <c r="R183" s="21">
        <f>Q183-Y183-AB183-AC183-AD183</f>
        <v>2214</v>
      </c>
      <c r="S183" s="20" t="s">
        <v>19</v>
      </c>
      <c r="T183" s="19">
        <v>759</v>
      </c>
      <c r="U183" s="19">
        <v>140</v>
      </c>
      <c r="V183" s="19">
        <v>53</v>
      </c>
      <c r="W183" s="19">
        <v>55</v>
      </c>
      <c r="X183" s="19">
        <v>530</v>
      </c>
      <c r="Y183" s="54">
        <v>323</v>
      </c>
      <c r="Z183" s="21">
        <v>212</v>
      </c>
      <c r="AA183" s="54">
        <f>T183+U183+V183*2+W183*3</f>
        <v>1170</v>
      </c>
      <c r="AB183" s="19">
        <v>20</v>
      </c>
      <c r="AC183" s="19">
        <v>69</v>
      </c>
      <c r="AD183" s="21">
        <v>21</v>
      </c>
      <c r="AE183" s="9"/>
      <c r="AF183" s="37"/>
      <c r="AG183" s="37"/>
      <c r="AH183" s="37"/>
      <c r="AI183" s="37"/>
      <c r="AJ183" s="37"/>
      <c r="AK183" s="38"/>
      <c r="AL183" s="37"/>
      <c r="AM183" s="38"/>
      <c r="BB183" s="9"/>
      <c r="BC183" s="150" t="s">
        <v>78</v>
      </c>
      <c r="BD183" s="151">
        <v>0.27505089346301742</v>
      </c>
      <c r="BE183" s="151">
        <v>0.28613843013546114</v>
      </c>
      <c r="BF183" s="151">
        <v>0.20284552845528456</v>
      </c>
      <c r="BG183" s="151">
        <v>0.35971423269623309</v>
      </c>
      <c r="BH183" s="151">
        <v>0.66569164511101342</v>
      </c>
      <c r="BI183" s="151">
        <v>9.0791180285343717E-3</v>
      </c>
      <c r="BJ183" s="151">
        <v>8.9818417639429313E-2</v>
      </c>
      <c r="BK183" s="151">
        <v>5.4648357765819264E-2</v>
      </c>
      <c r="BL183" s="151">
        <v>0.10252365930599369</v>
      </c>
      <c r="BM183" s="151">
        <v>0.47153302205280884</v>
      </c>
      <c r="BN183" s="165">
        <v>93.151525494430828</v>
      </c>
      <c r="BO183" s="168">
        <v>-250.15177651105213</v>
      </c>
      <c r="BP183" s="9"/>
    </row>
    <row r="184" spans="1:68" x14ac:dyDescent="0.2">
      <c r="A184" s="9"/>
      <c r="B184" s="3">
        <v>2019</v>
      </c>
      <c r="C184" s="106" t="s">
        <v>26</v>
      </c>
      <c r="D184" s="98">
        <v>0.76700000000000002</v>
      </c>
      <c r="E184" s="99">
        <f>(T184-W184)/(R184-W184-Z184+AD184)</f>
        <v>0.29458400993409112</v>
      </c>
      <c r="F184" s="99">
        <f>AA184/Q184</f>
        <v>0.37093126841636404</v>
      </c>
      <c r="G184" s="99">
        <f>(U184+V184+W184)/T184</f>
        <v>0.33179190751445087</v>
      </c>
      <c r="H184" s="99">
        <f>(AA184+S184)/Q184</f>
        <v>0.47776331117659154</v>
      </c>
      <c r="I184" s="99">
        <f>(AA184/R184)+((T184+Y184+AB184)/(R184+Y184+AB184+AD184))</f>
        <v>0.69555346401620277</v>
      </c>
      <c r="J184" s="99">
        <f>W184/AA184</f>
        <v>6.9462405320524667E-2</v>
      </c>
      <c r="K184" s="99">
        <f>(AC184+AD184)/AA184</f>
        <v>3.1775355625346391E-2</v>
      </c>
      <c r="L184" s="99">
        <f>Z184/Q184</f>
        <v>0.19276365380661961</v>
      </c>
      <c r="M184" s="99">
        <f>(Y184+AB184)/Q184</f>
        <v>5.7904474748166929E-2</v>
      </c>
      <c r="N184" s="100">
        <f>(1-E184*0.7635+1-F184*0.7562+1-G184*0.75+1-H184*0.7248+1-I184*0.7021+1-J184*0.6285+K184*0.5884+L184*0.5276+1-M184*0.3663)/11.068</f>
        <v>0.49391427626767104</v>
      </c>
      <c r="O184" s="105">
        <f>N184/0.4877*100</f>
        <v>101.27420058799899</v>
      </c>
      <c r="P184" s="102">
        <f>(O184-100)/100*Q184*0.6611</f>
        <v>122.92763909340454</v>
      </c>
      <c r="Q184" s="54">
        <v>14593</v>
      </c>
      <c r="R184" s="54">
        <f>Q184-Y184-AB184-AC184-AD184</f>
        <v>13576</v>
      </c>
      <c r="S184" s="19">
        <v>1559</v>
      </c>
      <c r="T184" s="19">
        <v>3460</v>
      </c>
      <c r="U184" s="19">
        <v>719</v>
      </c>
      <c r="V184" s="19">
        <v>53</v>
      </c>
      <c r="W184" s="19">
        <v>376</v>
      </c>
      <c r="X184" s="19" t="s">
        <v>19</v>
      </c>
      <c r="Y184" s="54">
        <v>785</v>
      </c>
      <c r="Z184" s="19">
        <v>2813</v>
      </c>
      <c r="AA184" s="54">
        <f>T184+U184+V184*2+W184*3</f>
        <v>5413</v>
      </c>
      <c r="AB184" s="19">
        <v>60</v>
      </c>
      <c r="AC184" s="19">
        <v>90</v>
      </c>
      <c r="AD184" s="19">
        <v>82</v>
      </c>
      <c r="AE184" s="9"/>
      <c r="AF184" s="37"/>
      <c r="AG184" s="37"/>
      <c r="AH184" s="37"/>
      <c r="AI184" s="37"/>
      <c r="AJ184" s="37"/>
      <c r="AK184" s="38"/>
      <c r="AL184" s="37"/>
      <c r="AM184" s="38"/>
      <c r="BB184" s="9"/>
      <c r="BC184" s="16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66"/>
      <c r="BO184" s="280"/>
      <c r="BP184" s="9"/>
    </row>
    <row r="185" spans="1:68" x14ac:dyDescent="0.2">
      <c r="A185" s="9"/>
      <c r="B185" s="3">
        <v>1948</v>
      </c>
      <c r="C185" s="51" t="s">
        <v>236</v>
      </c>
      <c r="D185" s="26">
        <v>0.76900000000000002</v>
      </c>
      <c r="E185" s="71">
        <f>(T185-W185)/(R185-W185-Z185+AD185)</f>
        <v>0.32623132263420035</v>
      </c>
      <c r="F185" s="71">
        <f>AA185/Q185</f>
        <v>0.39636056881176185</v>
      </c>
      <c r="G185" s="71">
        <f>(U185+V185+W185)/T185</f>
        <v>0.24544701986754966</v>
      </c>
      <c r="H185" s="71">
        <f>(AA185+X185)/Q185</f>
        <v>0.54977102916365395</v>
      </c>
      <c r="I185" s="71">
        <f>(AA185/R185)+((T185+Y185+AB185)/(R185+Y185+AB185+AD185))</f>
        <v>0.8004363641196538</v>
      </c>
      <c r="J185" s="71">
        <f>W185/AA185</f>
        <v>1.7634539373669808E-2</v>
      </c>
      <c r="K185" s="71">
        <f>(AC185+AD185)/AA185</f>
        <v>8.9996959562176959E-2</v>
      </c>
      <c r="L185" s="71">
        <f>Z185/Q185</f>
        <v>3.3502048686430468E-2</v>
      </c>
      <c r="M185" s="71">
        <f>(Y185+AB185)/Q185</f>
        <v>6.061701614846951E-2</v>
      </c>
      <c r="N185" s="57">
        <f>(E185*0.7635+F185*0.7562+G185*0.75+H185*0.7248+I185*0.7021+J185*0.6285+1-K185*0.5884+1-L185*0.5276+M185*0.3663)/6.931</f>
        <v>0.52748644988771376</v>
      </c>
      <c r="O185" s="65">
        <f>N185/0.5056*100</f>
        <v>104.32880733538641</v>
      </c>
      <c r="P185" s="155">
        <f>(O185-100)/100*Q185*0.3389</f>
        <v>121.73438223876461</v>
      </c>
      <c r="Q185" s="54">
        <v>8298</v>
      </c>
      <c r="R185" s="21">
        <f>Q185-Y185-AB185-AC185-AD185</f>
        <v>7499</v>
      </c>
      <c r="S185" s="20" t="s">
        <v>19</v>
      </c>
      <c r="T185" s="19">
        <v>2416</v>
      </c>
      <c r="U185" s="19">
        <v>371</v>
      </c>
      <c r="V185" s="19">
        <v>164</v>
      </c>
      <c r="W185" s="19">
        <v>58</v>
      </c>
      <c r="X185" s="19">
        <v>1273</v>
      </c>
      <c r="Y185" s="54">
        <v>472</v>
      </c>
      <c r="Z185" s="19">
        <v>278</v>
      </c>
      <c r="AA185" s="54">
        <f>T185+U185+V185*2+W185*3</f>
        <v>3289</v>
      </c>
      <c r="AB185" s="19">
        <v>31</v>
      </c>
      <c r="AC185" s="19">
        <v>231</v>
      </c>
      <c r="AD185" s="21">
        <v>65</v>
      </c>
      <c r="AE185" s="9"/>
      <c r="AF185" s="37"/>
      <c r="AG185" s="37"/>
      <c r="AH185" s="37"/>
      <c r="AI185" s="37"/>
      <c r="AJ185" s="37"/>
      <c r="AK185" s="38"/>
      <c r="AL185" s="37"/>
      <c r="AM185" s="38"/>
      <c r="BB185" s="9"/>
      <c r="BC185" s="175" t="s">
        <v>316</v>
      </c>
      <c r="BD185" s="152">
        <f>AVERAGE(BD2:BD183)</f>
        <v>0.31621472110205406</v>
      </c>
      <c r="BE185" s="152">
        <f t="shared" ref="BE185:BN185" si="1">AVERAGE(BE2:BE183)</f>
        <v>0.41311308443784189</v>
      </c>
      <c r="BF185" s="152">
        <f t="shared" si="1"/>
        <v>0.30968466412076895</v>
      </c>
      <c r="BG185" s="152">
        <f t="shared" si="1"/>
        <v>0.55525083928652352</v>
      </c>
      <c r="BH185" s="152">
        <f t="shared" si="1"/>
        <v>0.85409647037801462</v>
      </c>
      <c r="BI185" s="152">
        <f t="shared" si="1"/>
        <v>5.5813029262579535E-2</v>
      </c>
      <c r="BJ185" s="152">
        <f t="shared" si="1"/>
        <v>5.4711217110894793E-2</v>
      </c>
      <c r="BK185" s="152">
        <f t="shared" si="1"/>
        <v>8.3900717562701843E-2</v>
      </c>
      <c r="BL185" s="152">
        <f t="shared" si="1"/>
        <v>0.10582853477039855</v>
      </c>
      <c r="BM185" s="152">
        <f t="shared" si="1"/>
        <v>0.54618119675587429</v>
      </c>
      <c r="BN185" s="242">
        <f t="shared" si="1"/>
        <v>109.49729525478094</v>
      </c>
      <c r="BO185" s="243">
        <f>AVERAGE(BO2:BO183)</f>
        <v>262.82677907279134</v>
      </c>
      <c r="BP185" s="9"/>
    </row>
    <row r="186" spans="1:68" x14ac:dyDescent="0.2">
      <c r="A186" s="9"/>
      <c r="B186" s="3">
        <v>1983</v>
      </c>
      <c r="C186" s="51" t="s">
        <v>133</v>
      </c>
      <c r="D186" s="26">
        <v>0.92</v>
      </c>
      <c r="E186" s="71">
        <f>(T186-W186)/(R186-W186-Z186+AD186)</f>
        <v>0.27129337539432175</v>
      </c>
      <c r="F186" s="71">
        <f>AA186/Q186</f>
        <v>0.3624172466474283</v>
      </c>
      <c r="G186" s="71">
        <f>(U186+V186+W186)/T186</f>
        <v>0.2872191011235955</v>
      </c>
      <c r="H186" s="71">
        <f>(AA186+X186)/Q186</f>
        <v>0.47759293838058053</v>
      </c>
      <c r="I186" s="71">
        <f>(AA186/R186)+((T186+Y186+AB186)/(R186+Y186+AB186+AD186))</f>
        <v>0.72276429449938417</v>
      </c>
      <c r="J186" s="71">
        <f>W186/AA186</f>
        <v>6.2763466042154561E-2</v>
      </c>
      <c r="K186" s="71">
        <f>(AC186+AD186)/AA186</f>
        <v>5.0351288056206089E-2</v>
      </c>
      <c r="L186" s="71">
        <f>Z186/Q186</f>
        <v>8.4026481072822956E-2</v>
      </c>
      <c r="M186" s="71">
        <f>(Y186+AB186)/Q186</f>
        <v>7.7491088100492281E-2</v>
      </c>
      <c r="N186" s="57">
        <f>(E186*0.7635+F186*0.7562+G186*0.75+H186*0.7248+I186*0.7021+J186*0.6285+1-K186*0.5884+1-L186*0.5276+M186*0.3663)/6.931</f>
        <v>0.51133915271241104</v>
      </c>
      <c r="O186" s="65">
        <f>N186/0.4976*100</f>
        <v>102.7610837444556</v>
      </c>
      <c r="P186" s="155">
        <f>(O186-100)/100*Q186*0.3389</f>
        <v>110.24785952694921</v>
      </c>
      <c r="Q186" s="54">
        <v>11782</v>
      </c>
      <c r="R186" s="54">
        <f>Q186-Y186-AB186-AC186-AD186</f>
        <v>10654</v>
      </c>
      <c r="S186" s="20" t="s">
        <v>19</v>
      </c>
      <c r="T186" s="19">
        <v>2848</v>
      </c>
      <c r="U186" s="19">
        <v>482</v>
      </c>
      <c r="V186" s="19">
        <v>68</v>
      </c>
      <c r="W186" s="19">
        <v>268</v>
      </c>
      <c r="X186" s="19">
        <v>1357</v>
      </c>
      <c r="Y186" s="54">
        <v>860</v>
      </c>
      <c r="Z186" s="19">
        <v>990</v>
      </c>
      <c r="AA186" s="54">
        <f>T186+U186+V186*2+W186*3</f>
        <v>4270</v>
      </c>
      <c r="AB186" s="19">
        <v>53</v>
      </c>
      <c r="AC186" s="19">
        <v>101</v>
      </c>
      <c r="AD186" s="19">
        <v>114</v>
      </c>
      <c r="AE186" s="9"/>
      <c r="AF186" s="37"/>
      <c r="AG186" s="37"/>
      <c r="AH186" s="37"/>
      <c r="AI186" s="37"/>
      <c r="AJ186" s="37"/>
      <c r="AK186" s="38"/>
      <c r="AL186" s="37"/>
      <c r="AM186" s="38"/>
      <c r="BB186" s="9"/>
      <c r="BC186" s="16"/>
      <c r="BD186" s="59"/>
      <c r="BE186" s="59"/>
      <c r="BF186" s="59"/>
      <c r="BG186" s="59"/>
      <c r="BH186" s="59"/>
      <c r="BI186" s="59"/>
      <c r="BJ186" s="59"/>
      <c r="BK186" s="59"/>
      <c r="BL186" s="59"/>
      <c r="BM186" s="241" t="s">
        <v>325</v>
      </c>
      <c r="BN186" s="242">
        <f>AVERAGE(BN2:BN51)</f>
        <v>115.34420520351807</v>
      </c>
      <c r="BO186" s="243">
        <v>523.35091477934111</v>
      </c>
      <c r="BP186" s="9"/>
    </row>
    <row r="187" spans="1:68" x14ac:dyDescent="0.2">
      <c r="A187" s="9"/>
      <c r="B187" s="3">
        <v>1970</v>
      </c>
      <c r="C187" s="51" t="s">
        <v>184</v>
      </c>
      <c r="D187" s="26">
        <v>0.77300000000000002</v>
      </c>
      <c r="E187" s="71">
        <f>(T187-W187)/(R187-W187-Z187+AD187)</f>
        <v>0.30261761584718783</v>
      </c>
      <c r="F187" s="71">
        <f>AA187/Q187</f>
        <v>0.35587188612099646</v>
      </c>
      <c r="G187" s="71">
        <f>(U187+V187+W187)/T187</f>
        <v>0.29173693086003372</v>
      </c>
      <c r="H187" s="71">
        <f>(AA187+X187)/Q187</f>
        <v>0.46818505338078292</v>
      </c>
      <c r="I187" s="71">
        <f>(AA187/R187)+((T187+Y187+AB187)/(R187+Y187+AB187+AD187))</f>
        <v>0.79853530258840699</v>
      </c>
      <c r="J187" s="71">
        <f>W187/AA187</f>
        <v>2.7199999999999998E-2</v>
      </c>
      <c r="K187" s="71">
        <f>(AC187+AD187)/AA187</f>
        <v>8.72E-2</v>
      </c>
      <c r="L187" s="71">
        <f>Z187/Q187</f>
        <v>4.3985765124555161E-2</v>
      </c>
      <c r="M187" s="71">
        <f>(Y187+AB187)/Q187</f>
        <v>0.11814946619217082</v>
      </c>
      <c r="N187" s="57">
        <f>(E187*0.7635+F187*0.7562+G187*0.75+H187*0.7248+I187*0.7021+J187*0.6285+1-K187*0.5884+1-L187*0.5276+M187*0.3663)/6.931</f>
        <v>0.5200997995315596</v>
      </c>
      <c r="O187" s="65">
        <f>N187/0.4973*100</f>
        <v>104.58471738016482</v>
      </c>
      <c r="P187" s="155">
        <f>(O187-100)/100*Q187*0.3389</f>
        <v>109.15169058968445</v>
      </c>
      <c r="Q187" s="54">
        <v>7025</v>
      </c>
      <c r="R187" s="21">
        <f>Q187-Y187-AB187-AC187-AD187</f>
        <v>5977</v>
      </c>
      <c r="S187" s="20" t="s">
        <v>19</v>
      </c>
      <c r="T187" s="19">
        <v>1779</v>
      </c>
      <c r="U187" s="19">
        <v>385</v>
      </c>
      <c r="V187" s="19">
        <v>66</v>
      </c>
      <c r="W187" s="19">
        <v>68</v>
      </c>
      <c r="X187" s="19">
        <v>789</v>
      </c>
      <c r="Y187" s="54">
        <v>796</v>
      </c>
      <c r="Z187" s="19">
        <v>309</v>
      </c>
      <c r="AA187" s="54">
        <f>T187+U187+V187*2+W187*3</f>
        <v>2500</v>
      </c>
      <c r="AB187" s="19">
        <v>34</v>
      </c>
      <c r="AC187" s="19">
        <v>164</v>
      </c>
      <c r="AD187" s="21">
        <v>54</v>
      </c>
      <c r="AE187" s="9"/>
      <c r="AF187" s="37"/>
      <c r="AG187" s="37"/>
      <c r="AH187" s="37"/>
      <c r="AI187" s="37"/>
      <c r="AJ187" s="37"/>
      <c r="AK187" s="38"/>
      <c r="AL187" s="37"/>
      <c r="AM187" s="38"/>
      <c r="BB187" s="9"/>
      <c r="BC187" s="16"/>
      <c r="BD187" s="59"/>
      <c r="BE187" s="59"/>
      <c r="BF187" s="59"/>
      <c r="BG187" s="59"/>
      <c r="BH187" s="59"/>
      <c r="BI187" s="59"/>
      <c r="BJ187" s="59"/>
      <c r="BK187" s="59"/>
      <c r="BL187" s="59"/>
      <c r="BM187" s="59"/>
      <c r="BN187" s="66"/>
      <c r="BO187" s="280"/>
      <c r="BP187" s="9"/>
    </row>
    <row r="188" spans="1:68" x14ac:dyDescent="0.2">
      <c r="A188" s="9"/>
      <c r="B188" s="3">
        <v>2012</v>
      </c>
      <c r="C188" s="51" t="s">
        <v>48</v>
      </c>
      <c r="D188" s="26">
        <v>0.86399999999999999</v>
      </c>
      <c r="E188" s="71">
        <f>(T188-W188)/(R188-W188-Z188+AD188)</f>
        <v>0.30648161396480184</v>
      </c>
      <c r="F188" s="71">
        <f>AA188/Q188</f>
        <v>0.3894225460969416</v>
      </c>
      <c r="G188" s="71">
        <f>(U188+V188+W188)/T188</f>
        <v>0.30555555555555558</v>
      </c>
      <c r="H188" s="71">
        <f>(AA188+X188)/Q188</f>
        <v>0.49541790879982334</v>
      </c>
      <c r="I188" s="71">
        <f>(AA188/R188)+((T188+Y188+AB188)/(R188+Y188+AB188+AD188))</f>
        <v>0.81490123251389313</v>
      </c>
      <c r="J188" s="71">
        <f>W188/AA188</f>
        <v>5.6138361213495892E-2</v>
      </c>
      <c r="K188" s="71">
        <f>(AC188+AD188)/AA188</f>
        <v>3.5724411681315564E-2</v>
      </c>
      <c r="L188" s="71">
        <f>Z188/Q188</f>
        <v>9.0206470133598324E-2</v>
      </c>
      <c r="M188" s="71">
        <f>(Y188+AB188)/Q188</f>
        <v>0.10974936513194214</v>
      </c>
      <c r="N188" s="57">
        <f>(E188*0.7635+F188*0.7562+G188*0.75+H188*0.7248+I188*0.7021+J188*0.6285+1-K188*0.5884+1-L188*0.5276+M188*0.3663)/6.931</f>
        <v>0.53321868978908615</v>
      </c>
      <c r="O188" s="64">
        <f>N188/0.5152*100</f>
        <v>103.49741649632884</v>
      </c>
      <c r="P188" s="155">
        <f>(O188-100)/100*Q188*0.3389</f>
        <v>107.35030699137123</v>
      </c>
      <c r="Q188" s="54">
        <v>9057</v>
      </c>
      <c r="R188" s="54">
        <f>Q188-Y188-AB188-AC188-AD188</f>
        <v>7937</v>
      </c>
      <c r="S188" s="19" t="s">
        <v>19</v>
      </c>
      <c r="T188" s="19">
        <v>2340</v>
      </c>
      <c r="U188" s="19">
        <v>441</v>
      </c>
      <c r="V188" s="19">
        <v>76</v>
      </c>
      <c r="W188" s="19">
        <v>198</v>
      </c>
      <c r="X188" s="19">
        <v>960</v>
      </c>
      <c r="Y188" s="54">
        <v>939</v>
      </c>
      <c r="Z188" s="19">
        <v>817</v>
      </c>
      <c r="AA188" s="54">
        <f>T188+U188+V188*2+W188*3</f>
        <v>3527</v>
      </c>
      <c r="AB188" s="19">
        <v>55</v>
      </c>
      <c r="AC188" s="19">
        <v>59</v>
      </c>
      <c r="AD188" s="19">
        <v>67</v>
      </c>
      <c r="AE188" s="9"/>
      <c r="AF188" s="37"/>
      <c r="AG188" s="37"/>
      <c r="AH188" s="37"/>
      <c r="AI188" s="37"/>
      <c r="AJ188" s="37"/>
      <c r="AK188" s="38"/>
      <c r="AL188" s="37"/>
      <c r="AM188" s="38"/>
      <c r="BN188" s="62"/>
    </row>
    <row r="189" spans="1:68" x14ac:dyDescent="0.2">
      <c r="A189" s="9"/>
      <c r="B189" s="3">
        <v>1969</v>
      </c>
      <c r="C189" s="106" t="s">
        <v>190</v>
      </c>
      <c r="D189" s="98" t="s">
        <v>19</v>
      </c>
      <c r="E189" s="99">
        <f>(T189-W189)/(R189-W189-Z189+AD189)</f>
        <v>0.29020926756352766</v>
      </c>
      <c r="F189" s="99">
        <f>AA189/Q189</f>
        <v>0.34208724873980956</v>
      </c>
      <c r="G189" s="99">
        <f>(U189+V189+W189)/T189</f>
        <v>0.24151597721080009</v>
      </c>
      <c r="H189" s="99">
        <f>(AA189+S189)/Q189</f>
        <v>0.45285954321986432</v>
      </c>
      <c r="I189" s="99">
        <f>(AA189/R189)+((T189+Y189+AB189)/(R189+Y189+AB189+AD189))</f>
        <v>0.69834646379950849</v>
      </c>
      <c r="J189" s="99">
        <f>W189/AA189</f>
        <v>2.801528106239767E-2</v>
      </c>
      <c r="K189" s="99">
        <f>(AC189+AD189)/AA189</f>
        <v>7.2948881207931596E-2</v>
      </c>
      <c r="L189" s="99">
        <f>Z189/Q189</f>
        <v>7.5051341091542725E-2</v>
      </c>
      <c r="M189" s="99">
        <f>(Y189+AB189)/Q189</f>
        <v>6.546767067023461E-2</v>
      </c>
      <c r="N189" s="100">
        <f>(1-E189*0.7635+1-F189*0.7562+1-G189*0.75+1-H189*0.7248+1-I189*0.7021+1-J189*0.6285+K189*0.5884+L189*0.5276+1-M189*0.3663)/11.068</f>
        <v>0.50243874340433059</v>
      </c>
      <c r="O189" s="101">
        <f>N189/0.4975*100</f>
        <v>100.99271224207651</v>
      </c>
      <c r="P189" s="102">
        <f>(O189-100)/100*Q189*0.6611</f>
        <v>105.45796474151803</v>
      </c>
      <c r="Q189" s="54">
        <v>16069</v>
      </c>
      <c r="R189" s="21">
        <f>Q189-Y189-AB189-AC189-AD189</f>
        <v>14616</v>
      </c>
      <c r="S189" s="19">
        <v>1780</v>
      </c>
      <c r="T189" s="19">
        <v>4037</v>
      </c>
      <c r="U189" s="19">
        <v>644</v>
      </c>
      <c r="V189" s="19">
        <v>177</v>
      </c>
      <c r="W189" s="19">
        <v>154</v>
      </c>
      <c r="X189" s="20" t="s">
        <v>19</v>
      </c>
      <c r="Y189" s="54">
        <v>1003</v>
      </c>
      <c r="Z189" s="19">
        <v>1206</v>
      </c>
      <c r="AA189" s="54">
        <f>T189+U189+V189*2+W189*3</f>
        <v>5497</v>
      </c>
      <c r="AB189" s="19">
        <v>49</v>
      </c>
      <c r="AC189" s="19">
        <v>277</v>
      </c>
      <c r="AD189" s="21">
        <v>124</v>
      </c>
      <c r="AE189" s="9"/>
      <c r="AF189" s="37"/>
      <c r="AG189" s="37"/>
      <c r="AH189" s="37"/>
      <c r="AI189" s="37"/>
      <c r="AJ189" s="37"/>
      <c r="AK189" s="38"/>
      <c r="AL189" s="37"/>
      <c r="AM189" s="38"/>
    </row>
    <row r="190" spans="1:68" x14ac:dyDescent="0.2">
      <c r="A190" s="9"/>
      <c r="B190" s="3">
        <v>1974</v>
      </c>
      <c r="C190" s="51" t="s">
        <v>163</v>
      </c>
      <c r="D190" s="26" t="s">
        <v>19</v>
      </c>
      <c r="E190" s="71">
        <f>(T190-W190)/(R190-W190-Z190+AD190)</f>
        <v>0.34505901411710255</v>
      </c>
      <c r="F190" s="71">
        <f>AA190/Q190</f>
        <v>0.39274477142328335</v>
      </c>
      <c r="G190" s="71">
        <f>(U190+V190+W190)/T190</f>
        <v>0.25064599483204136</v>
      </c>
      <c r="H190" s="71">
        <f>(AA190+X190)/Q190</f>
        <v>0.50249861188228762</v>
      </c>
      <c r="I190" s="71">
        <f>(AA190/R190)+((T190+Y190+AB190)/(R190+Y190+AB190+AD190))</f>
        <v>0.84475124908494914</v>
      </c>
      <c r="J190" s="71">
        <f>W190/AA190</f>
        <v>2.6861451460885956E-2</v>
      </c>
      <c r="K190" s="71">
        <f>(AC190+AD190)/AA190</f>
        <v>6.8803016022620164E-2</v>
      </c>
      <c r="L190" s="71">
        <f>Z190/Q190</f>
        <v>6.9961132704053297E-2</v>
      </c>
      <c r="M190" s="71">
        <f>(Y190+AB190)/Q190</f>
        <v>0.10049972237645752</v>
      </c>
      <c r="N190" s="57">
        <f>(E190*0.7635+F190*0.7562+G190*0.75+H190*0.7248+I190*0.7021+J190*0.6285+1-K190*0.5884+1-L190*0.5276+M190*0.3663)/6.931</f>
        <v>0.53124250147667662</v>
      </c>
      <c r="O190" s="64">
        <f>N190/0.5024*100</f>
        <v>105.74094376526209</v>
      </c>
      <c r="P190" s="155">
        <f>(O190-100)/100*Q190*0.3389</f>
        <v>105.12108364581678</v>
      </c>
      <c r="Q190" s="54">
        <v>5403</v>
      </c>
      <c r="R190" s="21">
        <f>Q190-Y190-AB190-AC190-AD190</f>
        <v>4714</v>
      </c>
      <c r="S190" s="20" t="s">
        <v>19</v>
      </c>
      <c r="T190" s="19">
        <v>1548</v>
      </c>
      <c r="U190" s="19">
        <v>259</v>
      </c>
      <c r="V190" s="19">
        <v>72</v>
      </c>
      <c r="W190" s="19">
        <v>57</v>
      </c>
      <c r="X190" s="19">
        <v>593</v>
      </c>
      <c r="Y190" s="54">
        <v>530</v>
      </c>
      <c r="Z190" s="21">
        <v>378</v>
      </c>
      <c r="AA190" s="54">
        <f>T190+U190+V190*2+W190*3</f>
        <v>2122</v>
      </c>
      <c r="AB190" s="19">
        <v>13</v>
      </c>
      <c r="AC190" s="19">
        <v>104</v>
      </c>
      <c r="AD190" s="21">
        <v>42</v>
      </c>
      <c r="AE190" s="9"/>
      <c r="AF190" s="37"/>
      <c r="AG190" s="37"/>
      <c r="AH190" s="37"/>
      <c r="AI190" s="37"/>
      <c r="AJ190" s="37"/>
      <c r="AK190" s="38"/>
      <c r="AL190" s="37"/>
      <c r="AM190" s="38"/>
    </row>
    <row r="191" spans="1:68" x14ac:dyDescent="0.2">
      <c r="A191" s="9"/>
      <c r="B191" s="3">
        <v>2006</v>
      </c>
      <c r="C191" s="106" t="s">
        <v>62</v>
      </c>
      <c r="D191" s="98" t="s">
        <v>19</v>
      </c>
      <c r="E191" s="99">
        <f>(T191-W191)/(R191-W191-Z191+AD191)</f>
        <v>0.28489128414792791</v>
      </c>
      <c r="F191" s="99">
        <f>AA191/Q191</f>
        <v>0.32698034544371651</v>
      </c>
      <c r="G191" s="99">
        <f>(U191+V191+W191)/T191</f>
        <v>0.26624605678233437</v>
      </c>
      <c r="H191" s="99">
        <f>(AA191+S191)/Q191</f>
        <v>0.44773674806432401</v>
      </c>
      <c r="I191" s="99">
        <f>(AA191/R191)+((T191+Y191+AB191)/(R191+Y191+AB191+AD191))</f>
        <v>0.66285452602656081</v>
      </c>
      <c r="J191" s="99">
        <f>W191/AA191</f>
        <v>2.3679417122040074E-2</v>
      </c>
      <c r="K191" s="99">
        <f>(AC191+AD191)/AA191</f>
        <v>9.881602914389799E-2</v>
      </c>
      <c r="L191" s="99">
        <f>Z191/Q191</f>
        <v>0.10705777248362121</v>
      </c>
      <c r="M191" s="99">
        <f>(Y191+AB191)/Q191</f>
        <v>5.9410363311494935E-2</v>
      </c>
      <c r="N191" s="100">
        <f>(1-E191*0.7635+1-F191*0.7562+1-G191*0.75+1-H191*0.7248+1-I191*0.7021+1-J191*0.6285+K191*0.5884+L191*0.5276+1-M191*0.3663)/11.068</f>
        <v>0.50809641937024963</v>
      </c>
      <c r="O191" s="105">
        <f>N191/0.4965*100</f>
        <v>102.33563330720033</v>
      </c>
      <c r="P191" s="102">
        <f>(O191-100)/100*Q191*0.6611</f>
        <v>103.70089496784148</v>
      </c>
      <c r="Q191" s="54">
        <v>6716</v>
      </c>
      <c r="R191" s="21">
        <f>Q191-Y191-AB191-AC191-AD191</f>
        <v>6100</v>
      </c>
      <c r="S191" s="19">
        <v>811</v>
      </c>
      <c r="T191" s="19">
        <v>1585</v>
      </c>
      <c r="U191" s="21">
        <v>285</v>
      </c>
      <c r="V191" s="21">
        <v>85</v>
      </c>
      <c r="W191" s="19">
        <v>52</v>
      </c>
      <c r="X191" s="19" t="s">
        <v>19</v>
      </c>
      <c r="Y191" s="54">
        <v>357</v>
      </c>
      <c r="Z191" s="19">
        <v>719</v>
      </c>
      <c r="AA191" s="21">
        <f>T191+U191+V191*2+W191*3</f>
        <v>2196</v>
      </c>
      <c r="AB191" s="19">
        <v>42</v>
      </c>
      <c r="AC191" s="21">
        <v>165</v>
      </c>
      <c r="AD191" s="21">
        <v>52</v>
      </c>
      <c r="AE191" s="9"/>
      <c r="AF191" s="37"/>
      <c r="AG191" s="37"/>
      <c r="AH191" s="37"/>
      <c r="AI191" s="37"/>
      <c r="AJ191" s="37"/>
      <c r="AK191" s="38"/>
      <c r="AL191" s="37"/>
      <c r="AM191" s="38"/>
    </row>
    <row r="192" spans="1:68" x14ac:dyDescent="0.2">
      <c r="A192" s="9"/>
      <c r="B192" s="3">
        <v>1972</v>
      </c>
      <c r="C192" s="106" t="s">
        <v>172</v>
      </c>
      <c r="D192" s="98">
        <v>0.76</v>
      </c>
      <c r="E192" s="99">
        <f>(T192-W192)/(R192-W192-Z192+AD192)</f>
        <v>0.26977410769125776</v>
      </c>
      <c r="F192" s="99">
        <f>AA192/Q192</f>
        <v>0.32069054367431077</v>
      </c>
      <c r="G192" s="99">
        <f>(U192+V192+W192)/T192</f>
        <v>0.26124446515963645</v>
      </c>
      <c r="H192" s="99">
        <f>(AA192+S192)/Q192</f>
        <v>0.42566348879154858</v>
      </c>
      <c r="I192" s="99">
        <f>(AA192/R192)+((T192+Y192+AB192)/(R192+Y192+AB192+AD192))</f>
        <v>0.68224175472744775</v>
      </c>
      <c r="J192" s="99">
        <f>W192/AA192</f>
        <v>5.4314639241523383E-2</v>
      </c>
      <c r="K192" s="99">
        <f>(AC192+AD192)/AA192</f>
        <v>6.3152820183191391E-2</v>
      </c>
      <c r="L192" s="99">
        <f>Z192/Q192</f>
        <v>0.12027827879412523</v>
      </c>
      <c r="M192" s="99">
        <f>(Y192+AB192)/Q192</f>
        <v>9.4769389332646226E-2</v>
      </c>
      <c r="N192" s="100">
        <f>(1-E192*0.7635+1-F192*0.7562+1-G192*0.75+1-H192*0.7248+1-I192*0.7021+1-J192*0.6285+K192*0.5884+L192*0.5276+1-M192*0.3663)/11.068</f>
        <v>0.50594798150731424</v>
      </c>
      <c r="O192" s="101">
        <f>N192/0.5019*100</f>
        <v>100.80653148183187</v>
      </c>
      <c r="P192" s="102">
        <f>(O192-100)/100*Q192*0.6611</f>
        <v>103.46706465010729</v>
      </c>
      <c r="Q192" s="54">
        <v>19405</v>
      </c>
      <c r="R192" s="21">
        <f>Q192-Y192-AB192-AC192-AD192</f>
        <v>17173</v>
      </c>
      <c r="S192" s="20">
        <v>2037</v>
      </c>
      <c r="T192" s="19">
        <v>4291</v>
      </c>
      <c r="U192" s="19">
        <v>648</v>
      </c>
      <c r="V192" s="19">
        <v>135</v>
      </c>
      <c r="W192" s="19">
        <v>338</v>
      </c>
      <c r="X192" s="19" t="s">
        <v>19</v>
      </c>
      <c r="Y192" s="54">
        <v>1775</v>
      </c>
      <c r="Z192" s="19">
        <v>2334</v>
      </c>
      <c r="AA192" s="54">
        <f>T192+U192+V192*2+W192*3</f>
        <v>6223</v>
      </c>
      <c r="AB192" s="19">
        <v>64</v>
      </c>
      <c r="AC192" s="19">
        <v>241</v>
      </c>
      <c r="AD192" s="21">
        <v>152</v>
      </c>
      <c r="AE192" s="9"/>
      <c r="AF192" s="37"/>
      <c r="AG192" s="37"/>
      <c r="AH192" s="37"/>
      <c r="AI192" s="37"/>
      <c r="AJ192" s="37"/>
      <c r="AK192" s="38"/>
      <c r="AL192" s="37"/>
      <c r="AM192" s="38"/>
    </row>
    <row r="193" spans="1:39" x14ac:dyDescent="0.2">
      <c r="A193" s="9"/>
      <c r="B193" s="3">
        <v>2006</v>
      </c>
      <c r="C193" s="51" t="s">
        <v>65</v>
      </c>
      <c r="D193" s="26" t="s">
        <v>19</v>
      </c>
      <c r="E193" s="71">
        <f>(T193-W193)/(R193-W193-Z193+AD193)</f>
        <v>0.34865061998541208</v>
      </c>
      <c r="F193" s="71">
        <f>AA193/Q193</f>
        <v>0.41508347725964306</v>
      </c>
      <c r="G193" s="71">
        <f>(U193+V193+W193)/T193</f>
        <v>0.27083333333333331</v>
      </c>
      <c r="H193" s="71">
        <f>(AA193+X193)/Q193</f>
        <v>0.58865860679332183</v>
      </c>
      <c r="I193" s="71">
        <f>(AA193/R193)+((T193+Y193+AB193)/(R193+Y193+AB193+AD193))</f>
        <v>0.86363414037662023</v>
      </c>
      <c r="J193" s="71">
        <f>W193/AA193</f>
        <v>3.6061026352288486E-2</v>
      </c>
      <c r="K193" s="71">
        <f>(AC193+AD193)/AA193</f>
        <v>8.1137309292649104E-2</v>
      </c>
      <c r="L193" s="71">
        <f>Z193/Q193</f>
        <v>8.0023028209556701E-2</v>
      </c>
      <c r="M193" s="71">
        <f>(Y193+AB193)/Q193</f>
        <v>8.9810017271157172E-2</v>
      </c>
      <c r="N193" s="57">
        <f>(E193*0.7635+F193*0.7562+G193*0.75+H193*0.7248+I193*0.7021+J193*0.6285+1-K193*0.5884+1-L193*0.5276+M193*0.3663)/6.931</f>
        <v>0.54563895310092481</v>
      </c>
      <c r="O193" s="64">
        <f>N193/0.5016*100</f>
        <v>108.77969559428324</v>
      </c>
      <c r="P193" s="155">
        <f>(O193-100)/100*Q193*0.3389</f>
        <v>103.36674519399595</v>
      </c>
      <c r="Q193" s="54">
        <v>3474</v>
      </c>
      <c r="R193" s="21">
        <f>Q193-Y193-AB193-AC193-AD193</f>
        <v>3045</v>
      </c>
      <c r="S193" s="20" t="s">
        <v>19</v>
      </c>
      <c r="T193" s="19">
        <v>1008</v>
      </c>
      <c r="U193" s="19">
        <v>164</v>
      </c>
      <c r="V193" s="19">
        <v>57</v>
      </c>
      <c r="W193" s="19">
        <v>52</v>
      </c>
      <c r="X193" s="19">
        <v>603</v>
      </c>
      <c r="Y193" s="54">
        <v>297</v>
      </c>
      <c r="Z193" s="21">
        <v>278</v>
      </c>
      <c r="AA193" s="54">
        <f>T193+U193+V193*2+W193*3</f>
        <v>1442</v>
      </c>
      <c r="AB193" s="21">
        <v>15</v>
      </c>
      <c r="AC193" s="19">
        <v>90</v>
      </c>
      <c r="AD193" s="21">
        <v>27</v>
      </c>
      <c r="AE193" s="9"/>
      <c r="AF193" s="37"/>
      <c r="AG193" s="37"/>
      <c r="AH193" s="37"/>
      <c r="AI193" s="37"/>
      <c r="AJ193" s="37"/>
      <c r="AK193" s="38"/>
      <c r="AL193" s="37"/>
      <c r="AM193" s="38"/>
    </row>
    <row r="194" spans="1:39" x14ac:dyDescent="0.2">
      <c r="A194" s="9"/>
      <c r="B194" s="3">
        <v>1976</v>
      </c>
      <c r="C194" s="51" t="s">
        <v>156</v>
      </c>
      <c r="D194" s="26" t="s">
        <v>19</v>
      </c>
      <c r="E194" s="71">
        <f>(T194-W194)/(R194-W194-Z194+AD194)</f>
        <v>0.31392018331105592</v>
      </c>
      <c r="F194" s="71">
        <f>AA194/Q194</f>
        <v>0.41234244557210675</v>
      </c>
      <c r="G194" s="71">
        <f>(U194+V194+W194)/T194</f>
        <v>0.27761877504293075</v>
      </c>
      <c r="H194" s="71">
        <f>(AA194+X194)/Q194</f>
        <v>0.53985922409559661</v>
      </c>
      <c r="I194" s="71">
        <f>(AA194/R194)+((T194+Y194+AB194)/(R194+Y194+AB194+AD194))</f>
        <v>0.80357212990645377</v>
      </c>
      <c r="J194" s="71">
        <f>W194/AA194</f>
        <v>4.0889241762604209E-2</v>
      </c>
      <c r="K194" s="71">
        <f>(AC194+AD194)/AA194</f>
        <v>7.7014688368400155E-2</v>
      </c>
      <c r="L194" s="71">
        <f>Z194/Q194</f>
        <v>4.5179243738746114E-2</v>
      </c>
      <c r="M194" s="71">
        <f>(Y194+AB194)/Q194</f>
        <v>5.6801440497626456E-2</v>
      </c>
      <c r="N194" s="57">
        <f>(E194*0.7635+F194*0.7562+G194*0.75+H194*0.7248+I194*0.7021+J194*0.6285+1-K194*0.5884+1-L194*0.5276+M194*0.3663)/6.931</f>
        <v>0.5327567019309154</v>
      </c>
      <c r="O194" s="65">
        <f>N194/0.5075*100</f>
        <v>104.97669003564836</v>
      </c>
      <c r="P194" s="155">
        <f>(O194-100)/100*Q194*0.3389</f>
        <v>103.03440946073229</v>
      </c>
      <c r="Q194" s="54">
        <v>6109</v>
      </c>
      <c r="R194" s="21">
        <f>Q194-Y194-AB194-AC194-AD194</f>
        <v>5568</v>
      </c>
      <c r="S194" s="20" t="s">
        <v>19</v>
      </c>
      <c r="T194" s="19">
        <v>1747</v>
      </c>
      <c r="U194" s="19">
        <v>301</v>
      </c>
      <c r="V194" s="19">
        <v>81</v>
      </c>
      <c r="W194" s="19">
        <v>103</v>
      </c>
      <c r="X194" s="19">
        <v>779</v>
      </c>
      <c r="Y194" s="54">
        <v>334</v>
      </c>
      <c r="Z194" s="19">
        <v>276</v>
      </c>
      <c r="AA194" s="54">
        <f>T194+U194+V194*2+W194*3</f>
        <v>2519</v>
      </c>
      <c r="AB194" s="19">
        <v>13</v>
      </c>
      <c r="AC194" s="19">
        <v>146</v>
      </c>
      <c r="AD194" s="21">
        <v>48</v>
      </c>
      <c r="AE194" s="9"/>
      <c r="AF194" s="37"/>
      <c r="AG194" s="37"/>
      <c r="AH194" s="37"/>
      <c r="AI194" s="37"/>
      <c r="AJ194" s="37"/>
      <c r="AK194" s="38"/>
      <c r="AL194" s="37"/>
      <c r="AM194" s="38"/>
    </row>
    <row r="195" spans="1:39" x14ac:dyDescent="0.2">
      <c r="A195" s="9"/>
      <c r="B195" s="3">
        <v>1964</v>
      </c>
      <c r="C195" s="106" t="s">
        <v>199</v>
      </c>
      <c r="D195" s="98" t="s">
        <v>19</v>
      </c>
      <c r="E195" s="99">
        <f>(T195-W195)/(R195-W195-Z195+AD195)</f>
        <v>0.29127672655236014</v>
      </c>
      <c r="F195" s="99">
        <f>AA195/Q195</f>
        <v>0.32908645821742516</v>
      </c>
      <c r="G195" s="99">
        <f>(U195+V195+W195)/T195</f>
        <v>0.22325475974614686</v>
      </c>
      <c r="H195" s="99">
        <f>(AA195+S195)/Q195</f>
        <v>0.44314009124290643</v>
      </c>
      <c r="I195" s="99">
        <f>(AA195/R195)+((T195+Y195+AB195)/(R195+Y195+AB195+AD195))</f>
        <v>0.69477723791392521</v>
      </c>
      <c r="J195" s="99">
        <f>W195/AA195</f>
        <v>2.5021132713440405E-2</v>
      </c>
      <c r="K195" s="99">
        <f>(AC195+AD195)/AA195</f>
        <v>7.4556213017751477E-2</v>
      </c>
      <c r="L195" s="99">
        <f>Z195/Q195</f>
        <v>8.4121508846111054E-2</v>
      </c>
      <c r="M195" s="99">
        <f>(Y195+AB195)/Q195</f>
        <v>7.7667742294425288E-2</v>
      </c>
      <c r="N195" s="100">
        <f>(1-E195*0.7635+1-F195*0.7562+1-G195*0.75+1-H195*0.7248+1-I195*0.7021+1-J195*0.6285+K195*0.5884+L195*0.5276+1-M195*0.3663)/11.068</f>
        <v>0.50563777021913892</v>
      </c>
      <c r="O195" s="105">
        <f>N195/0.5013*100</f>
        <v>100.86530425277058</v>
      </c>
      <c r="P195" s="102">
        <f>(O195-100)/100*Q195*0.6611</f>
        <v>102.82074178440234</v>
      </c>
      <c r="Q195" s="54">
        <v>17974</v>
      </c>
      <c r="R195" s="21">
        <f>Q195-Y195-AB195-AC195-AD195</f>
        <v>16137</v>
      </c>
      <c r="S195" s="19">
        <v>2050</v>
      </c>
      <c r="T195" s="19">
        <v>4412</v>
      </c>
      <c r="U195" s="19">
        <v>615</v>
      </c>
      <c r="V195" s="19">
        <v>222</v>
      </c>
      <c r="W195" s="19">
        <v>148</v>
      </c>
      <c r="X195" s="20" t="s">
        <v>19</v>
      </c>
      <c r="Y195" s="54">
        <v>1295</v>
      </c>
      <c r="Z195" s="19">
        <v>1512</v>
      </c>
      <c r="AA195" s="54">
        <f>T195+U195+V195*2+W195*3</f>
        <v>5915</v>
      </c>
      <c r="AB195" s="19">
        <v>101</v>
      </c>
      <c r="AC195" s="19">
        <v>279</v>
      </c>
      <c r="AD195" s="21">
        <v>162</v>
      </c>
      <c r="AE195" s="9"/>
      <c r="AF195" s="37"/>
      <c r="AG195" s="37"/>
      <c r="AH195" s="37"/>
      <c r="AI195" s="37"/>
      <c r="AJ195" s="37"/>
      <c r="AK195" s="38"/>
      <c r="AL195" s="37"/>
      <c r="AM195" s="38"/>
    </row>
    <row r="196" spans="1:39" x14ac:dyDescent="0.2">
      <c r="A196" s="9"/>
      <c r="B196" s="3">
        <v>1945</v>
      </c>
      <c r="C196" s="51" t="s">
        <v>251</v>
      </c>
      <c r="D196" s="26" t="s">
        <v>19</v>
      </c>
      <c r="E196" s="71">
        <f>(T196-W196)/(R196-W196-Z196+AD196)</f>
        <v>0.30167322834645671</v>
      </c>
      <c r="F196" s="71">
        <f>AA196/Q196</f>
        <v>0.31377645748236166</v>
      </c>
      <c r="G196" s="71">
        <f>(U196+V196+W196)/T196</f>
        <v>0.25159744408945689</v>
      </c>
      <c r="H196" s="71">
        <f>(AA196+X196)/Q196</f>
        <v>0.41217972521351653</v>
      </c>
      <c r="I196" s="71">
        <f>(AA196/R196)+((T196+Y196+AB196)/(R196+Y196+AB196+AD196))</f>
        <v>0.76533656244670034</v>
      </c>
      <c r="J196" s="71">
        <f>W196/AA196</f>
        <v>1.5384615384615385E-2</v>
      </c>
      <c r="K196" s="71">
        <f>(AC196+AD196)/AA196</f>
        <v>9.2307692307692313E-2</v>
      </c>
      <c r="L196" s="71">
        <f>Z196/Q196</f>
        <v>7.4823616784255476E-2</v>
      </c>
      <c r="M196" s="71">
        <f>(Y196+AB196)/Q196</f>
        <v>0.14500556999628667</v>
      </c>
      <c r="N196" s="57">
        <f>(E196*0.7635+F196*0.7562+G196*0.75+H196*0.7248+I196*0.7021+J196*0.6285+1-K196*0.5884+1-L196*0.5276+M196*0.3663)/6.931</f>
        <v>0.49940672342750109</v>
      </c>
      <c r="O196" s="64">
        <f>N196/0.4728*100</f>
        <v>105.62747957434455</v>
      </c>
      <c r="P196" s="155">
        <f>(O196-100)/100*Q196*0.3389</f>
        <v>102.71925130236548</v>
      </c>
      <c r="Q196" s="54">
        <v>5386</v>
      </c>
      <c r="R196" s="21">
        <f>Q196-Y196-AB196-AC196-AD196</f>
        <v>4449</v>
      </c>
      <c r="S196" s="19" t="s">
        <v>19</v>
      </c>
      <c r="T196" s="19">
        <v>1252</v>
      </c>
      <c r="U196" s="19">
        <v>218</v>
      </c>
      <c r="V196" s="19">
        <v>71</v>
      </c>
      <c r="W196" s="19">
        <v>26</v>
      </c>
      <c r="X196" s="19">
        <v>530</v>
      </c>
      <c r="Y196" s="54">
        <v>714</v>
      </c>
      <c r="Z196" s="19">
        <v>403</v>
      </c>
      <c r="AA196" s="54">
        <f>T196+U196+V196*2+W196*3</f>
        <v>1690</v>
      </c>
      <c r="AB196" s="19">
        <v>67</v>
      </c>
      <c r="AC196" s="19">
        <v>112</v>
      </c>
      <c r="AD196" s="21">
        <v>44</v>
      </c>
      <c r="AE196" s="9"/>
      <c r="AF196" s="37"/>
      <c r="AG196" s="37"/>
      <c r="AH196" s="37"/>
      <c r="AI196" s="37"/>
      <c r="AJ196" s="37"/>
      <c r="AK196" s="38"/>
      <c r="AL196" s="37"/>
      <c r="AM196" s="38"/>
    </row>
    <row r="197" spans="1:39" x14ac:dyDescent="0.2">
      <c r="A197" s="9"/>
      <c r="B197" s="3">
        <v>2006</v>
      </c>
      <c r="C197" s="106" t="s">
        <v>59</v>
      </c>
      <c r="D197" s="98">
        <v>0.76900000000000002</v>
      </c>
      <c r="E197" s="99">
        <f>(T197-W197)/(R197-W197-Z197+AD197)</f>
        <v>0.27503429355281206</v>
      </c>
      <c r="F197" s="99">
        <f>AA197/Q197</f>
        <v>0.30628087508821455</v>
      </c>
      <c r="G197" s="99">
        <f>(U197+V197+W197)/T197</f>
        <v>0.27531285551763368</v>
      </c>
      <c r="H197" s="99">
        <f>(AA197+S197)/Q197</f>
        <v>0.39331921900729239</v>
      </c>
      <c r="I197" s="99">
        <f>(AA197/R197)+((T197+Y197+AB197)/(R197+Y197+AB197+AD197))</f>
        <v>0.62763234851191108</v>
      </c>
      <c r="J197" s="99">
        <f>W197/AA197</f>
        <v>5.9139784946236562E-2</v>
      </c>
      <c r="K197" s="99">
        <f>(AC197+AD197)/AA197</f>
        <v>7.6804915514592939E-2</v>
      </c>
      <c r="L197" s="99">
        <f>Z197/Q197</f>
        <v>0.20254057868736769</v>
      </c>
      <c r="M197" s="99">
        <f>(Y197+AB197)/Q197</f>
        <v>7.5746883086332623E-2</v>
      </c>
      <c r="N197" s="100">
        <f>(1-E197*0.7635+1-F197*0.7562+1-G197*0.75+1-H197*0.7248+1-I197*0.7021+1-J197*0.6285+K197*0.5884+L197*0.5276+1-M197*0.3663)/11.068</f>
        <v>0.5162012666386705</v>
      </c>
      <c r="O197" s="101">
        <f>N197/0.4981*100</f>
        <v>103.63406276624583</v>
      </c>
      <c r="P197" s="102">
        <f>(O197-100)/100*Q197*0.6611</f>
        <v>102.12937781646527</v>
      </c>
      <c r="Q197" s="54">
        <v>4251</v>
      </c>
      <c r="R197" s="54">
        <f>Q197-Y197-AB197-AC197-AD197</f>
        <v>3829</v>
      </c>
      <c r="S197" s="19">
        <v>370</v>
      </c>
      <c r="T197" s="19">
        <v>879</v>
      </c>
      <c r="U197" s="19">
        <v>138</v>
      </c>
      <c r="V197" s="19">
        <v>27</v>
      </c>
      <c r="W197" s="19">
        <v>77</v>
      </c>
      <c r="X197" s="19" t="s">
        <v>19</v>
      </c>
      <c r="Y197" s="54">
        <v>309</v>
      </c>
      <c r="Z197" s="19">
        <v>861</v>
      </c>
      <c r="AA197" s="54">
        <f>T197+U197+V197*2+W197*3</f>
        <v>1302</v>
      </c>
      <c r="AB197" s="19">
        <v>13</v>
      </c>
      <c r="AC197" s="19">
        <v>75</v>
      </c>
      <c r="AD197" s="19">
        <v>25</v>
      </c>
      <c r="AE197" s="9"/>
      <c r="AF197" s="37"/>
      <c r="AG197" s="37"/>
      <c r="AH197" s="37"/>
      <c r="AI197" s="37"/>
      <c r="AJ197" s="37"/>
      <c r="AK197" s="38"/>
      <c r="AL197" s="37"/>
      <c r="AM197" s="38"/>
    </row>
    <row r="198" spans="1:39" x14ac:dyDescent="0.2">
      <c r="A198" s="9"/>
      <c r="B198" s="3">
        <v>1953</v>
      </c>
      <c r="C198" s="106" t="s">
        <v>225</v>
      </c>
      <c r="D198" s="98">
        <v>0.79200000000000004</v>
      </c>
      <c r="E198" s="99">
        <f>(T198-W198)/(R198-W198-Z198+AD198)</f>
        <v>0.28813291139240504</v>
      </c>
      <c r="F198" s="99">
        <f>AA198/Q198</f>
        <v>0.32957608429306545</v>
      </c>
      <c r="G198" s="99">
        <f>(U198+V198+W198)/T198</f>
        <v>0.26931106471816285</v>
      </c>
      <c r="H198" s="99">
        <f>(AA198+S198)/Q198</f>
        <v>0.42440578289634895</v>
      </c>
      <c r="I198" s="99">
        <f>(AA198/R198)+((T198+Y198+AB198)/(R198+Y198+AB198+AD198))</f>
        <v>0.65520780870099604</v>
      </c>
      <c r="J198" s="99">
        <f>W198/AA198</f>
        <v>3.5315985130111527E-2</v>
      </c>
      <c r="K198" s="99">
        <f>(AC198+AD198)/AA198</f>
        <v>6.245353159851301E-2</v>
      </c>
      <c r="L198" s="99">
        <f>Z198/Q198</f>
        <v>0.14248958588581231</v>
      </c>
      <c r="M198" s="99">
        <f>(Y198+AB198)/Q198</f>
        <v>5.8686596422445482E-2</v>
      </c>
      <c r="N198" s="100">
        <f>(1-E198*0.7635+1-F198*0.7562+1-G198*0.75+1-H198*0.7248+1-I198*0.7021+1-J198*0.6285+K198*0.5884+L198*0.5276+1-M198*0.3663)/11.068</f>
        <v>0.50861973629569213</v>
      </c>
      <c r="O198" s="101">
        <f>N198/0.4994*100</f>
        <v>101.84616265432361</v>
      </c>
      <c r="P198" s="102">
        <f>(O198-100)/100*Q198*0.6611</f>
        <v>99.617057433719722</v>
      </c>
      <c r="Q198" s="54">
        <v>8162</v>
      </c>
      <c r="R198" s="21">
        <f>Q198-Y198-AB198-AC198-AD198</f>
        <v>7515</v>
      </c>
      <c r="S198" s="19">
        <v>774</v>
      </c>
      <c r="T198" s="19">
        <v>1916</v>
      </c>
      <c r="U198" s="19">
        <v>353</v>
      </c>
      <c r="V198" s="19">
        <v>68</v>
      </c>
      <c r="W198" s="19">
        <v>95</v>
      </c>
      <c r="X198" s="19" t="s">
        <v>19</v>
      </c>
      <c r="Y198" s="54">
        <v>452</v>
      </c>
      <c r="Z198" s="19">
        <v>1163</v>
      </c>
      <c r="AA198" s="54">
        <f>T198+U198+V198*2+W198*3</f>
        <v>2690</v>
      </c>
      <c r="AB198" s="19">
        <v>27</v>
      </c>
      <c r="AC198" s="19">
        <v>105</v>
      </c>
      <c r="AD198" s="21">
        <v>63</v>
      </c>
      <c r="AE198" s="9"/>
      <c r="AF198" s="37"/>
      <c r="AG198" s="37"/>
      <c r="AH198" s="37"/>
      <c r="AI198" s="37"/>
      <c r="AJ198" s="37"/>
      <c r="AK198" s="38"/>
      <c r="AL198" s="37"/>
      <c r="AM198" s="38"/>
    </row>
    <row r="199" spans="1:39" x14ac:dyDescent="0.2">
      <c r="A199" s="9"/>
      <c r="B199" s="3">
        <v>1978</v>
      </c>
      <c r="C199" s="106" t="s">
        <v>147</v>
      </c>
      <c r="D199" s="98" t="s">
        <v>19</v>
      </c>
      <c r="E199" s="99">
        <f>(T199-W199)/(R199-W199-Z199+AD199)</f>
        <v>0.25690721649484538</v>
      </c>
      <c r="F199" s="99">
        <f>AA199/Q199</f>
        <v>0.27297266899111461</v>
      </c>
      <c r="G199" s="99">
        <f>(U199+V199+W199)/T199</f>
        <v>0.2097457627118644</v>
      </c>
      <c r="H199" s="99">
        <f>(AA199+S199)/Q199</f>
        <v>0.35507816893487798</v>
      </c>
      <c r="I199" s="99">
        <f>(AA199/R199)+((T199+Y199+AB199)/(R199+Y199+AB199+AD199))</f>
        <v>0.5656055707365647</v>
      </c>
      <c r="J199" s="99">
        <f>W199/AA199</f>
        <v>7.828594973217964E-3</v>
      </c>
      <c r="K199" s="99">
        <f>(AC199+AD199)/AA199</f>
        <v>0.13514627111660485</v>
      </c>
      <c r="L199" s="99">
        <f>Z199/Q199</f>
        <v>0.10347542458666067</v>
      </c>
      <c r="M199" s="99">
        <f>(Y199+AB199)/Q199</f>
        <v>4.7463727364750873E-2</v>
      </c>
      <c r="N199" s="100">
        <f>(1-E199*0.7635+1-F199*0.7562+1-G199*0.75+1-H199*0.7248+1-I199*0.7021+1-J199*0.6285+K199*0.5884+L199*0.5276+1-M199*0.3663)/11.068</f>
        <v>0.5328383829495501</v>
      </c>
      <c r="O199" s="101">
        <f>N199/0.5241*100</f>
        <v>101.66731214454305</v>
      </c>
      <c r="P199" s="102">
        <f>(O199-100)/100*Q199*0.6611</f>
        <v>98.001941824121189</v>
      </c>
      <c r="Q199" s="54">
        <v>8891</v>
      </c>
      <c r="R199" s="21">
        <f>Q199-Y199-AB199-AC199-AD199</f>
        <v>8141</v>
      </c>
      <c r="S199" s="19">
        <v>730</v>
      </c>
      <c r="T199" s="19">
        <v>1888</v>
      </c>
      <c r="U199" s="21">
        <v>272</v>
      </c>
      <c r="V199" s="21">
        <v>105</v>
      </c>
      <c r="W199" s="19">
        <v>19</v>
      </c>
      <c r="X199" s="19" t="s">
        <v>19</v>
      </c>
      <c r="Y199" s="54">
        <v>364</v>
      </c>
      <c r="Z199" s="19">
        <v>920</v>
      </c>
      <c r="AA199" s="21">
        <f>T199+U199+V199*2+W199*3</f>
        <v>2427</v>
      </c>
      <c r="AB199" s="19">
        <v>58</v>
      </c>
      <c r="AC199" s="21">
        <v>255</v>
      </c>
      <c r="AD199" s="21">
        <v>73</v>
      </c>
      <c r="AE199" s="9"/>
      <c r="AF199" s="37"/>
      <c r="AG199" s="37"/>
      <c r="AH199" s="37"/>
      <c r="AI199" s="37"/>
      <c r="AJ199" s="37"/>
      <c r="AK199" s="38"/>
      <c r="AL199" s="37"/>
      <c r="AM199" s="38"/>
    </row>
    <row r="200" spans="1:39" x14ac:dyDescent="0.2">
      <c r="A200" s="9"/>
      <c r="B200" s="3">
        <v>1997</v>
      </c>
      <c r="C200" s="106" t="s">
        <v>96</v>
      </c>
      <c r="D200" s="98">
        <v>0.80300000000000005</v>
      </c>
      <c r="E200" s="99">
        <f>(T200-W200)/(R200-W200-Z200+AD200)</f>
        <v>0.27314094120464616</v>
      </c>
      <c r="F200" s="99">
        <f>AA200/Q200</f>
        <v>0.32954094456938748</v>
      </c>
      <c r="G200" s="99">
        <f>(U200+V200+W200)/T200</f>
        <v>0.26586042823156225</v>
      </c>
      <c r="H200" s="99">
        <f>(AA200+S200)/Q200</f>
        <v>0.43259690435242759</v>
      </c>
      <c r="I200" s="99">
        <f>(AA200/R200)+((T200+Y200+AB200)/(R200+Y200+AB200+AD200))</f>
        <v>0.67651734340713188</v>
      </c>
      <c r="J200" s="99">
        <f>W200/AA200</f>
        <v>6.4498862571925594E-2</v>
      </c>
      <c r="K200" s="99">
        <f>(AC200+AD200)/AA200</f>
        <v>4.2954636692091527E-2</v>
      </c>
      <c r="L200" s="99">
        <f>Z200/Q200</f>
        <v>0.14737399126868633</v>
      </c>
      <c r="M200" s="99">
        <f>(Y200+AB200)/Q200</f>
        <v>8.5196454557481149E-2</v>
      </c>
      <c r="N200" s="100">
        <f>(1-E200*0.7635+1-F200*0.7562+1-G200*0.75+1-H200*0.7248+1-I200*0.7021+1-J200*0.6285+K200*0.5884+L200*0.5276+1-M200*0.3663)/11.068</f>
        <v>0.50466368580091692</v>
      </c>
      <c r="O200" s="101">
        <f>N200/0.5014*100</f>
        <v>100.65091459930532</v>
      </c>
      <c r="P200" s="102">
        <f>(O200-100)/100*Q200*0.6611</f>
        <v>97.583585125801989</v>
      </c>
      <c r="Q200" s="54">
        <v>22677</v>
      </c>
      <c r="R200" s="54">
        <f>Q200-Y200-AB200-AC200-AD200</f>
        <v>20424</v>
      </c>
      <c r="S200" s="19">
        <v>2337</v>
      </c>
      <c r="T200" s="19">
        <v>5044</v>
      </c>
      <c r="U200" s="19">
        <v>735</v>
      </c>
      <c r="V200" s="19">
        <v>124</v>
      </c>
      <c r="W200" s="19">
        <v>482</v>
      </c>
      <c r="X200" s="19" t="s">
        <v>19</v>
      </c>
      <c r="Y200" s="54">
        <v>1809</v>
      </c>
      <c r="Z200" s="19">
        <v>3342</v>
      </c>
      <c r="AA200" s="54">
        <f>T200+U200+V200*2+W200*3</f>
        <v>7473</v>
      </c>
      <c r="AB200" s="19">
        <v>123</v>
      </c>
      <c r="AC200" s="19">
        <v>219</v>
      </c>
      <c r="AD200" s="19">
        <v>102</v>
      </c>
      <c r="AE200" s="9"/>
      <c r="AF200" s="37"/>
      <c r="AG200" s="37"/>
      <c r="AH200" s="37"/>
      <c r="AI200" s="37"/>
      <c r="AJ200" s="37"/>
      <c r="AK200" s="38"/>
      <c r="AL200" s="37"/>
      <c r="AM200" s="38"/>
    </row>
    <row r="201" spans="1:39" x14ac:dyDescent="0.2">
      <c r="A201" s="9"/>
      <c r="B201" s="3">
        <v>1983</v>
      </c>
      <c r="C201" s="51" t="s">
        <v>135</v>
      </c>
      <c r="D201" s="26" t="s">
        <v>19</v>
      </c>
      <c r="E201" s="71">
        <f>(T201-W201)/(R201-W201-Z201+AD201)</f>
        <v>0.31078955646429696</v>
      </c>
      <c r="F201" s="71">
        <f>AA201/Q201</f>
        <v>0.36830920440961618</v>
      </c>
      <c r="G201" s="71">
        <f>(U201+V201+W201)/T201</f>
        <v>0.24975657254138267</v>
      </c>
      <c r="H201" s="71">
        <f>(AA201+X201)/Q201</f>
        <v>0.48386239872493025</v>
      </c>
      <c r="I201" s="71">
        <f>(AA201/R201)+((T201+Y201+AB201)/(R201+Y201+AB201+AD201))</f>
        <v>0.78339818694511032</v>
      </c>
      <c r="J201" s="71">
        <f>W201/AA201</f>
        <v>2.8128380815001804E-2</v>
      </c>
      <c r="K201" s="71">
        <f>(AC201+AD201)/AA201</f>
        <v>7.4648395239812482E-2</v>
      </c>
      <c r="L201" s="71">
        <f>Z201/Q201</f>
        <v>3.8119272147695574E-2</v>
      </c>
      <c r="M201" s="71">
        <f>(Y201+AB201)/Q201</f>
        <v>8.7262584672599286E-2</v>
      </c>
      <c r="N201" s="57">
        <f>(E201*0.7635+F201*0.7562+G201*0.75+H201*0.7248+I201*0.7021+J201*0.6285+1-K201*0.5884+1-L201*0.5276+M201*0.3663)/6.931</f>
        <v>0.51788430791439077</v>
      </c>
      <c r="O201" s="64">
        <f>N201/0.4994*100</f>
        <v>103.70130314665414</v>
      </c>
      <c r="P201" s="155">
        <f>(O201-100)/100*Q201*0.3389</f>
        <v>94.441640504637917</v>
      </c>
      <c r="Q201" s="54">
        <v>7529</v>
      </c>
      <c r="R201" s="21">
        <f>Q201-Y201-AB201-AC201-AD201</f>
        <v>6665</v>
      </c>
      <c r="S201" s="20" t="s">
        <v>19</v>
      </c>
      <c r="T201" s="19">
        <v>2054</v>
      </c>
      <c r="U201" s="19">
        <v>385</v>
      </c>
      <c r="V201" s="19">
        <v>50</v>
      </c>
      <c r="W201" s="19">
        <v>78</v>
      </c>
      <c r="X201" s="19">
        <v>870</v>
      </c>
      <c r="Y201" s="54">
        <v>621</v>
      </c>
      <c r="Z201" s="19">
        <v>287</v>
      </c>
      <c r="AA201" s="54">
        <f>T201+U201+V201*2+W201*3</f>
        <v>2773</v>
      </c>
      <c r="AB201" s="19">
        <v>36</v>
      </c>
      <c r="AC201" s="19">
        <v>149</v>
      </c>
      <c r="AD201" s="21">
        <v>58</v>
      </c>
      <c r="AE201" s="9"/>
      <c r="AF201" s="37"/>
      <c r="AG201" s="37"/>
      <c r="AH201" s="37"/>
      <c r="AI201" s="37"/>
      <c r="AJ201" s="37"/>
      <c r="AK201" s="38"/>
      <c r="AL201" s="37"/>
      <c r="AM201" s="38"/>
    </row>
    <row r="202" spans="1:39" x14ac:dyDescent="0.2">
      <c r="A202" s="9"/>
      <c r="B202" s="3">
        <v>2017</v>
      </c>
      <c r="C202" s="51" t="s">
        <v>36</v>
      </c>
      <c r="D202" s="26">
        <v>0.86</v>
      </c>
      <c r="E202" s="71">
        <f>(T202-W202)/(R202-W202-Z202+AD202)</f>
        <v>0.31169994879672297</v>
      </c>
      <c r="F202" s="71">
        <f>AA202/Q202</f>
        <v>0.36403127715030409</v>
      </c>
      <c r="G202" s="71">
        <f>(U202+V202+W202)/T202</f>
        <v>0.27370441458733208</v>
      </c>
      <c r="H202" s="71">
        <f>(AA202+X202)/Q202</f>
        <v>0.4586350033787045</v>
      </c>
      <c r="I202" s="71">
        <f>(AA202/R202)+((T202+Y202+AB202)/(R202+Y202+AB202+AD202))</f>
        <v>0.81041330271702283</v>
      </c>
      <c r="J202" s="71">
        <f>W202/AA202</f>
        <v>4.5080880403076104E-2</v>
      </c>
      <c r="K202" s="71">
        <f>(AC202+AD202)/AA202</f>
        <v>3.0495889684433838E-2</v>
      </c>
      <c r="L202" s="71">
        <f>Z202/Q202</f>
        <v>9.3252244425137562E-2</v>
      </c>
      <c r="M202" s="71">
        <f>(Y202+AB202)/Q202</f>
        <v>0.13244521671976059</v>
      </c>
      <c r="N202" s="57">
        <f>(E202*0.7635+F202*0.7562+G202*0.75+H202*0.7248+I202*0.7021+J202*0.6285+1-K202*0.5884+1-L202*0.5276+M202*0.3663)/6.931</f>
        <v>0.52368429584232035</v>
      </c>
      <c r="O202" s="64">
        <f>N202/0.5101*100</f>
        <v>102.66306525040588</v>
      </c>
      <c r="P202" s="155">
        <f>(O202-100)/100*Q202*0.3389</f>
        <v>93.491302336226781</v>
      </c>
      <c r="Q202" s="54">
        <v>10359</v>
      </c>
      <c r="R202" s="54">
        <f>Q202-Y202-AB202-AC202-AD202</f>
        <v>8872</v>
      </c>
      <c r="S202" s="19" t="s">
        <v>19</v>
      </c>
      <c r="T202" s="19">
        <v>2605</v>
      </c>
      <c r="U202" s="19">
        <v>430</v>
      </c>
      <c r="V202" s="19">
        <v>113</v>
      </c>
      <c r="W202" s="19">
        <v>170</v>
      </c>
      <c r="X202" s="19">
        <v>980</v>
      </c>
      <c r="Y202" s="54">
        <v>1330</v>
      </c>
      <c r="Z202" s="19">
        <v>966</v>
      </c>
      <c r="AA202" s="54">
        <f>T202+U202+V202*2+W202*3</f>
        <v>3771</v>
      </c>
      <c r="AB202" s="19">
        <v>42</v>
      </c>
      <c r="AC202" s="19">
        <v>39</v>
      </c>
      <c r="AD202" s="19">
        <v>76</v>
      </c>
      <c r="AE202" s="9"/>
      <c r="AF202" s="37"/>
      <c r="AG202" s="37"/>
      <c r="AH202" s="37"/>
      <c r="AI202" s="37"/>
      <c r="AJ202" s="37"/>
      <c r="AK202" s="38"/>
      <c r="AL202" s="37"/>
      <c r="AM202" s="38"/>
    </row>
    <row r="203" spans="1:39" x14ac:dyDescent="0.2">
      <c r="A203" s="9"/>
      <c r="B203" s="3">
        <v>2009</v>
      </c>
      <c r="C203" s="51" t="s">
        <v>53</v>
      </c>
      <c r="D203" s="26">
        <v>0.94799999999999995</v>
      </c>
      <c r="E203" s="71">
        <f>(T203-W203)/(R203-W203-Z203+AD203)</f>
        <v>0.30518977536793185</v>
      </c>
      <c r="F203" s="71">
        <f>AA203/Q203</f>
        <v>0.34377341525550725</v>
      </c>
      <c r="G203" s="71">
        <f>(U203+V203+W203)/T203</f>
        <v>0.2857610474631751</v>
      </c>
      <c r="H203" s="71">
        <f>(AA203+X203)/Q203</f>
        <v>0.42731904690543981</v>
      </c>
      <c r="I203" s="71">
        <f>(AA203/R203)+((T203+Y203+AB203)/(R203+Y203+AB203+AD203))</f>
        <v>0.81982156814807161</v>
      </c>
      <c r="J203" s="71">
        <f>W203/AA203</f>
        <v>6.4734088927637309E-2</v>
      </c>
      <c r="K203" s="71">
        <f>(AC203+AD203)/AA203</f>
        <v>2.1142109851787272E-2</v>
      </c>
      <c r="L203" s="71">
        <f>Z203/Q203</f>
        <v>0.1269294170537989</v>
      </c>
      <c r="M203" s="71">
        <f>(Y203+AB203)/Q203</f>
        <v>0.17143713472201408</v>
      </c>
      <c r="N203" s="57">
        <f>(E203*0.7635+F203*0.7562+G203*0.75+H203*0.7248+I203*0.7021+J203*0.6285+1-K203*0.5884+1-L203*0.5276+M203*0.3663)/6.931</f>
        <v>0.52181316164567215</v>
      </c>
      <c r="O203" s="64">
        <f>N203/0.5113*100</f>
        <v>102.05616304433252</v>
      </c>
      <c r="P203" s="155">
        <f>(O203-100)/100*Q203*0.3389</f>
        <v>92.99941969296394</v>
      </c>
      <c r="Q203" s="54">
        <v>13346</v>
      </c>
      <c r="R203" s="54">
        <f>Q203-Y203-AB203-AC203-AD203</f>
        <v>10961</v>
      </c>
      <c r="S203" s="19" t="s">
        <v>19</v>
      </c>
      <c r="T203" s="19">
        <v>3055</v>
      </c>
      <c r="U203" s="19">
        <v>510</v>
      </c>
      <c r="V203" s="19">
        <v>66</v>
      </c>
      <c r="W203" s="19">
        <v>297</v>
      </c>
      <c r="X203" s="19">
        <v>1115</v>
      </c>
      <c r="Y203" s="54">
        <v>2190</v>
      </c>
      <c r="Z203" s="19">
        <v>1694</v>
      </c>
      <c r="AA203" s="54">
        <f>T203+U203+V203*2+W203*3</f>
        <v>4588</v>
      </c>
      <c r="AB203" s="19">
        <v>98</v>
      </c>
      <c r="AC203" s="19">
        <v>30</v>
      </c>
      <c r="AD203" s="19">
        <v>67</v>
      </c>
      <c r="AE203" s="9"/>
      <c r="AF203" s="37"/>
      <c r="AG203" s="37"/>
      <c r="AH203" s="37"/>
      <c r="AI203" s="37"/>
      <c r="AJ203" s="37"/>
      <c r="AK203" s="38"/>
      <c r="AL203" s="37"/>
      <c r="AM203" s="38"/>
    </row>
    <row r="204" spans="1:39" x14ac:dyDescent="0.2">
      <c r="A204" s="9"/>
      <c r="B204" s="3">
        <v>1945</v>
      </c>
      <c r="C204" s="51" t="s">
        <v>257</v>
      </c>
      <c r="D204" s="26" t="s">
        <v>19</v>
      </c>
      <c r="E204" s="71">
        <f>(T204-W204)/(R204-W204-Z204+AD204)</f>
        <v>0.32430107526881718</v>
      </c>
      <c r="F204" s="71">
        <f>AA204/Q204</f>
        <v>0.35198300283286121</v>
      </c>
      <c r="G204" s="71">
        <f>(U204+V204+W204)/T204</f>
        <v>0.22149410222804719</v>
      </c>
      <c r="H204" s="71">
        <f>(AA204+X204)/Q204</f>
        <v>0.50070821529745047</v>
      </c>
      <c r="I204" s="71">
        <f>(AA204/R204)+((T204+Y204+AB204)/(R204+Y204+AB204+AD204))</f>
        <v>0.79956385521516793</v>
      </c>
      <c r="J204" s="71">
        <f>W204/AA204</f>
        <v>9.0543259557344068E-3</v>
      </c>
      <c r="K204" s="71">
        <f>(AC204+AD204)/AA204</f>
        <v>7.9476861167002005E-2</v>
      </c>
      <c r="L204" s="71">
        <f>Z204/Q204</f>
        <v>4.1430594900849861E-2</v>
      </c>
      <c r="M204" s="71">
        <f>(Y204+AB204)/Q204</f>
        <v>0.11225212464589235</v>
      </c>
      <c r="N204" s="57">
        <f>(E204*0.7635+F204*0.7562+G204*0.75+H204*0.7248+I204*0.7021+J204*0.6285+1-K204*0.5884+1-L204*0.5276+M204*0.3663)/6.931</f>
        <v>0.5168614516975566</v>
      </c>
      <c r="O204" s="64">
        <f>N204/0.493*100</f>
        <v>104.84005105427113</v>
      </c>
      <c r="P204" s="155">
        <f>(O204-100)/100*Q204*0.3389</f>
        <v>92.643765713479567</v>
      </c>
      <c r="Q204" s="54">
        <v>5648</v>
      </c>
      <c r="R204" s="21">
        <f>Q204-Y204-AB204-AC204-AD204</f>
        <v>4856</v>
      </c>
      <c r="S204" s="19" t="s">
        <v>19</v>
      </c>
      <c r="T204" s="19">
        <v>1526</v>
      </c>
      <c r="U204" s="19">
        <v>232</v>
      </c>
      <c r="V204" s="19">
        <v>88</v>
      </c>
      <c r="W204" s="19">
        <v>18</v>
      </c>
      <c r="X204" s="19">
        <v>840</v>
      </c>
      <c r="Y204" s="54">
        <v>347</v>
      </c>
      <c r="Z204" s="19">
        <v>234</v>
      </c>
      <c r="AA204" s="54">
        <f>T204+U204+V204*2+W204*3</f>
        <v>1988</v>
      </c>
      <c r="AB204" s="19">
        <v>287</v>
      </c>
      <c r="AC204" s="21">
        <v>112</v>
      </c>
      <c r="AD204" s="21">
        <v>46</v>
      </c>
      <c r="AE204" s="9"/>
      <c r="AF204" s="37"/>
      <c r="AG204" s="37"/>
      <c r="AH204" s="37"/>
      <c r="AI204" s="37"/>
      <c r="AJ204" s="37"/>
      <c r="AK204" s="38"/>
      <c r="AL204" s="37"/>
      <c r="AM204" s="38"/>
    </row>
    <row r="205" spans="1:39" x14ac:dyDescent="0.2">
      <c r="A205" s="9"/>
      <c r="B205" s="3">
        <v>2001</v>
      </c>
      <c r="C205" s="106" t="s">
        <v>82</v>
      </c>
      <c r="D205" s="98" t="s">
        <v>19</v>
      </c>
      <c r="E205" s="99">
        <f>(T205-W205)/(R205-W205-Z205+AD205)</f>
        <v>0.28399699474079637</v>
      </c>
      <c r="F205" s="99">
        <f>AA205/Q205</f>
        <v>0.29396477043026276</v>
      </c>
      <c r="G205" s="99">
        <f>(U205+V205+W205)/T205</f>
        <v>0.24380704041720991</v>
      </c>
      <c r="H205" s="99">
        <f>(AA205+S205)/Q205</f>
        <v>0.39647704302627779</v>
      </c>
      <c r="I205" s="99">
        <f>(AA205/R205)+((T205+Y205+AB205)/(R205+Y205+AB205+AD205))</f>
        <v>0.59644436363035269</v>
      </c>
      <c r="J205" s="99">
        <f>W205/AA205</f>
        <v>1.0805500982318271E-2</v>
      </c>
      <c r="K205" s="99">
        <f>(AC205+AD205)/AA205</f>
        <v>8.3497053045186634E-2</v>
      </c>
      <c r="L205" s="99">
        <f>Z205/Q205</f>
        <v>0.15939936471267688</v>
      </c>
      <c r="M205" s="99">
        <f>(Y205+AB205)/Q205</f>
        <v>5.1978053710655503E-2</v>
      </c>
      <c r="N205" s="100">
        <f>(1-E205*0.7635+1-F205*0.7562+1-G205*0.75+1-H205*0.7248+1-I205*0.7021+1-J205*0.6285+K205*0.5884+L205*0.5276+1-M205*0.3663)/11.068</f>
        <v>0.52216160631599284</v>
      </c>
      <c r="O205" s="101">
        <f>N205/0.5023*100</f>
        <v>103.95413225482638</v>
      </c>
      <c r="P205" s="102">
        <f>(O205-100)/100*Q205*0.6611</f>
        <v>90.525480749843794</v>
      </c>
      <c r="Q205" s="54">
        <v>3463</v>
      </c>
      <c r="R205" s="21">
        <f>Q205-Y205-AB205-AC205-AD205</f>
        <v>3198</v>
      </c>
      <c r="S205" s="19">
        <v>355</v>
      </c>
      <c r="T205" s="19">
        <v>767</v>
      </c>
      <c r="U205" s="21">
        <v>134</v>
      </c>
      <c r="V205" s="21">
        <v>42</v>
      </c>
      <c r="W205" s="19">
        <v>11</v>
      </c>
      <c r="X205" s="19" t="s">
        <v>19</v>
      </c>
      <c r="Y205" s="54">
        <v>167</v>
      </c>
      <c r="Z205" s="19">
        <v>552</v>
      </c>
      <c r="AA205" s="21">
        <f>T205+U205+V205*2+W205*3</f>
        <v>1018</v>
      </c>
      <c r="AB205" s="19">
        <v>13</v>
      </c>
      <c r="AC205" s="21">
        <v>58</v>
      </c>
      <c r="AD205" s="21">
        <v>27</v>
      </c>
      <c r="AE205" s="9"/>
      <c r="AF205" s="37"/>
      <c r="AG205" s="37"/>
      <c r="AH205" s="37"/>
      <c r="AI205" s="37"/>
      <c r="AJ205" s="37"/>
      <c r="AK205" s="38"/>
      <c r="AL205" s="37"/>
      <c r="AM205" s="38"/>
    </row>
    <row r="206" spans="1:39" x14ac:dyDescent="0.2">
      <c r="A206" s="9"/>
      <c r="B206" s="3">
        <v>2011</v>
      </c>
      <c r="C206" s="51" t="s">
        <v>50</v>
      </c>
      <c r="D206" s="26">
        <v>0.9</v>
      </c>
      <c r="E206" s="71">
        <f>(T206-W206)/(R206-W206-Z206+AD206)</f>
        <v>0.32148337595907928</v>
      </c>
      <c r="F206" s="71">
        <f>AA206/Q206</f>
        <v>0.38634615384615384</v>
      </c>
      <c r="G206" s="71">
        <f>(U206+V206+W206)/T206</f>
        <v>0.29148311306901614</v>
      </c>
      <c r="H206" s="71">
        <f>(AA206+X206)/Q206</f>
        <v>0.49538461538461537</v>
      </c>
      <c r="I206" s="71">
        <f>(AA206/R206)+((T206+Y206+AB206)/(R206+Y206+AB206+AD206))</f>
        <v>0.81409705445908698</v>
      </c>
      <c r="J206" s="71">
        <f>W206/AA206</f>
        <v>5.2264808362369339E-2</v>
      </c>
      <c r="K206" s="71">
        <f>(AC206+AD206)/AA206</f>
        <v>6.097560975609756E-2</v>
      </c>
      <c r="L206" s="71">
        <f>Z206/Q206</f>
        <v>0.10961538461538461</v>
      </c>
      <c r="M206" s="71">
        <f>(Y206+AB206)/Q206</f>
        <v>0.10403846153846154</v>
      </c>
      <c r="N206" s="57">
        <f>(E206*0.7635+F206*0.7562+G206*0.75+H206*0.7248+I206*0.7021+J206*0.6285+1-K206*0.5884+1-L206*0.5276+M206*0.3663)/6.931</f>
        <v>0.52865369497405823</v>
      </c>
      <c r="O206" s="64">
        <f>N206/0.5155*100</f>
        <v>102.55163821029258</v>
      </c>
      <c r="P206" s="155">
        <f>(O206-100)/100*Q206*0.3389</f>
        <v>89.934019704688168</v>
      </c>
      <c r="Q206" s="54">
        <v>10400</v>
      </c>
      <c r="R206" s="54">
        <f>Q206-Y206-AB206-AC206-AD206</f>
        <v>9073</v>
      </c>
      <c r="S206" s="19" t="s">
        <v>19</v>
      </c>
      <c r="T206" s="19">
        <v>2724</v>
      </c>
      <c r="U206" s="19">
        <v>504</v>
      </c>
      <c r="V206" s="19">
        <v>80</v>
      </c>
      <c r="W206" s="19">
        <v>210</v>
      </c>
      <c r="X206" s="19">
        <v>1134</v>
      </c>
      <c r="Y206" s="54">
        <v>1032</v>
      </c>
      <c r="Z206" s="19">
        <v>1140</v>
      </c>
      <c r="AA206" s="54">
        <f>T206+U206+V206*2+W206*3</f>
        <v>4018</v>
      </c>
      <c r="AB206" s="19">
        <v>50</v>
      </c>
      <c r="AC206" s="19">
        <v>148</v>
      </c>
      <c r="AD206" s="19">
        <v>97</v>
      </c>
      <c r="AE206" s="9"/>
      <c r="AF206" s="37"/>
      <c r="AG206" s="37"/>
      <c r="AH206" s="37"/>
      <c r="AI206" s="37"/>
      <c r="AJ206" s="37"/>
      <c r="AK206" s="38"/>
      <c r="AL206" s="37"/>
      <c r="AM206" s="38"/>
    </row>
    <row r="207" spans="1:39" x14ac:dyDescent="0.2">
      <c r="A207" s="9"/>
      <c r="B207" s="3">
        <v>2015</v>
      </c>
      <c r="C207" s="51" t="s">
        <v>43</v>
      </c>
      <c r="D207" s="26">
        <v>0.82699999999999996</v>
      </c>
      <c r="E207" s="71">
        <f>(T207-W207)/(R207-W207-Z207+AD207)</f>
        <v>0.31063495624859772</v>
      </c>
      <c r="F207" s="71">
        <f>AA207/Q207</f>
        <v>0.37675943698016634</v>
      </c>
      <c r="G207" s="71">
        <f>(U207+V207+W207)/T207</f>
        <v>0.33137254901960783</v>
      </c>
      <c r="H207" s="71">
        <f>(AA207+X207)/Q207</f>
        <v>0.47072936660268716</v>
      </c>
      <c r="I207" s="71">
        <f>(AA207/R207)+((T207+Y207+AB207)/(R207+Y207+AB207+AD207))</f>
        <v>0.79633432497873302</v>
      </c>
      <c r="J207" s="71">
        <f>W207/AA207</f>
        <v>6.1770324771810659E-2</v>
      </c>
      <c r="K207" s="71">
        <f>(AC207+AD207)/AA207</f>
        <v>3.8632986627043092E-2</v>
      </c>
      <c r="L207" s="71">
        <f>Z207/Q207</f>
        <v>0.14019513755598209</v>
      </c>
      <c r="M207" s="71">
        <f>(Y207+AB207)/Q207</f>
        <v>0.11556301983365323</v>
      </c>
      <c r="N207" s="57">
        <f>(E207*0.7635+F207*0.7562+G207*0.75+H207*0.7248+I207*0.7021+J207*0.6285+1-K207*0.5884+1-L207*0.5276+M207*0.3663)/6.931</f>
        <v>0.52739149343015002</v>
      </c>
      <c r="O207" s="65">
        <f>N207/0.5166*100</f>
        <v>102.08894568915024</v>
      </c>
      <c r="P207" s="155">
        <f>(O207-100)/100*Q207*0.3389</f>
        <v>88.521279504389</v>
      </c>
      <c r="Q207" s="54">
        <v>12504</v>
      </c>
      <c r="R207" s="54">
        <f>Q207-Y207-AB207-AC207-AD207</f>
        <v>10877</v>
      </c>
      <c r="S207" s="19" t="s">
        <v>19</v>
      </c>
      <c r="T207" s="19">
        <v>3060</v>
      </c>
      <c r="U207" s="19">
        <v>668</v>
      </c>
      <c r="V207" s="19">
        <v>55</v>
      </c>
      <c r="W207" s="19">
        <v>291</v>
      </c>
      <c r="X207" s="19">
        <v>1175</v>
      </c>
      <c r="Y207" s="54">
        <v>1160</v>
      </c>
      <c r="Z207" s="19">
        <v>1753</v>
      </c>
      <c r="AA207" s="54">
        <f>T207+U207+V207*2+W207*3</f>
        <v>4711</v>
      </c>
      <c r="AB207" s="19">
        <v>285</v>
      </c>
      <c r="AC207" s="19">
        <v>101</v>
      </c>
      <c r="AD207" s="19">
        <v>81</v>
      </c>
      <c r="AE207" s="9"/>
      <c r="AF207" s="37"/>
      <c r="AG207" s="37"/>
      <c r="AH207" s="37"/>
      <c r="AI207" s="37"/>
      <c r="AJ207" s="37"/>
      <c r="AK207" s="38"/>
      <c r="AL207" s="37"/>
      <c r="AM207" s="38"/>
    </row>
    <row r="208" spans="1:39" x14ac:dyDescent="0.2">
      <c r="A208" s="9"/>
      <c r="B208" s="3">
        <v>1949</v>
      </c>
      <c r="C208" s="106" t="s">
        <v>234</v>
      </c>
      <c r="D208" s="98" t="s">
        <v>19</v>
      </c>
      <c r="E208" s="99">
        <f>(T208-W208)/(R208-W208-Z208+AD208)</f>
        <v>0.26845975622040896</v>
      </c>
      <c r="F208" s="99">
        <f>AA208/Q208</f>
        <v>0.28449799196787151</v>
      </c>
      <c r="G208" s="99">
        <f>(U208+V208+W208)/T208</f>
        <v>0.2189807976366322</v>
      </c>
      <c r="H208" s="99">
        <f>(AA208+S208)/Q208</f>
        <v>0.36835341365461849</v>
      </c>
      <c r="I208" s="99">
        <f>(AA208/R208)+((T208+Y208+AB208)/(R208+Y208+AB208+AD208))</f>
        <v>0.59994180154799048</v>
      </c>
      <c r="J208" s="99">
        <f>W208/AA208</f>
        <v>1.2140033879164314E-2</v>
      </c>
      <c r="K208" s="99">
        <f>(AC208+AD208)/AA208</f>
        <v>0.13297571993224166</v>
      </c>
      <c r="L208" s="99">
        <f>Z208/Q208</f>
        <v>0.11044176706827309</v>
      </c>
      <c r="M208" s="99">
        <f>(Y208+AB208)/Q208</f>
        <v>5.8955823293172692E-2</v>
      </c>
      <c r="N208" s="100">
        <f>(1-E208*0.7635+1-F208*0.7562+1-G208*0.75+1-H208*0.7248+1-I208*0.7021+1-J208*0.6285+K208*0.5884+L208*0.5276+1-M208*0.3663)/11.068</f>
        <v>0.52717227718074033</v>
      </c>
      <c r="O208" s="105">
        <f>N208/0.5216*100</f>
        <v>101.06830467422169</v>
      </c>
      <c r="P208" s="102">
        <f>(O208-100)/100*Q208*0.6611</f>
        <v>87.928899405931176</v>
      </c>
      <c r="Q208" s="54">
        <v>12450</v>
      </c>
      <c r="R208" s="21">
        <f>Q208-Y208-AB208-AC208-AD208</f>
        <v>11245</v>
      </c>
      <c r="S208" s="19">
        <v>1044</v>
      </c>
      <c r="T208" s="19">
        <v>2708</v>
      </c>
      <c r="U208" s="21">
        <v>395</v>
      </c>
      <c r="V208" s="21">
        <v>155</v>
      </c>
      <c r="W208" s="19">
        <v>43</v>
      </c>
      <c r="X208" s="20" t="s">
        <v>19</v>
      </c>
      <c r="Y208" s="54">
        <v>673</v>
      </c>
      <c r="Z208" s="19">
        <v>1375</v>
      </c>
      <c r="AA208" s="21">
        <f>T208+U208+V208*2+W208*3</f>
        <v>3542</v>
      </c>
      <c r="AB208" s="19">
        <v>61</v>
      </c>
      <c r="AC208" s="21">
        <v>371</v>
      </c>
      <c r="AD208" s="21">
        <v>100</v>
      </c>
      <c r="AE208" s="9"/>
      <c r="AF208" s="37"/>
      <c r="AG208" s="37"/>
      <c r="AH208" s="37"/>
      <c r="AI208" s="37"/>
      <c r="AJ208" s="37"/>
      <c r="AK208" s="38"/>
      <c r="AL208" s="37"/>
      <c r="AM208" s="38"/>
    </row>
    <row r="209" spans="1:39" x14ac:dyDescent="0.2">
      <c r="A209" s="9"/>
      <c r="B209" s="3">
        <v>1964</v>
      </c>
      <c r="C209" s="51" t="s">
        <v>197</v>
      </c>
      <c r="D209" s="26">
        <v>0.94</v>
      </c>
      <c r="E209" s="71">
        <f>(T209-W209)/(R209-W209-Z209+AD209)</f>
        <v>0.32601880877742945</v>
      </c>
      <c r="F209" s="71">
        <f>AA209/Q209</f>
        <v>0.34406085430076067</v>
      </c>
      <c r="G209" s="71">
        <f>(U209+V209+W209)/T209</f>
        <v>0.21353219352491815</v>
      </c>
      <c r="H209" s="71">
        <f>(AA209+X209)/Q209</f>
        <v>0.45289643066120538</v>
      </c>
      <c r="I209" s="71">
        <f>(AA209/R209)+((T209+Y209+AB209)/(R209+Y209+AB209+AD209))</f>
        <v>0.8005199009163162</v>
      </c>
      <c r="J209" s="71">
        <f>W209/AA209</f>
        <v>1.2755102040816327E-2</v>
      </c>
      <c r="K209" s="71">
        <f>(AC209+AD209)/AA209</f>
        <v>4.3650793650793648E-2</v>
      </c>
      <c r="L209" s="71">
        <f>Z209/Q209</f>
        <v>5.1492100643651256E-2</v>
      </c>
      <c r="M209" s="71">
        <f>(Y209+AB209)/Q209</f>
        <v>0.12804759118392822</v>
      </c>
      <c r="N209" s="57">
        <f>(E209*0.7635+F209*0.7562+G209*0.75+H209*0.7248+I209*0.7021+J209*0.6285+1-K209*0.5884+1-L209*0.5276+M209*0.3663)/6.931</f>
        <v>0.5138676574871861</v>
      </c>
      <c r="O209" s="64">
        <f>N209/0.5017*100</f>
        <v>102.42528552664663</v>
      </c>
      <c r="P209" s="155">
        <f>(O209-100)/100*Q209*0.3389</f>
        <v>84.280626831104954</v>
      </c>
      <c r="Q209" s="54">
        <v>10254</v>
      </c>
      <c r="R209" s="21">
        <f>Q209-Y209-AB209-AC209-AD209</f>
        <v>8787</v>
      </c>
      <c r="S209" s="20" t="s">
        <v>19</v>
      </c>
      <c r="T209" s="19">
        <v>2749</v>
      </c>
      <c r="U209" s="19">
        <v>440</v>
      </c>
      <c r="V209" s="19">
        <v>102</v>
      </c>
      <c r="W209" s="19">
        <v>45</v>
      </c>
      <c r="X209" s="19">
        <v>1116</v>
      </c>
      <c r="Y209" s="54">
        <v>1302</v>
      </c>
      <c r="Z209" s="19">
        <v>528</v>
      </c>
      <c r="AA209" s="54">
        <f>T209+U209+V209*2+W209*3</f>
        <v>3528</v>
      </c>
      <c r="AB209" s="19">
        <v>11</v>
      </c>
      <c r="AC209" s="19">
        <v>74</v>
      </c>
      <c r="AD209" s="21">
        <v>80</v>
      </c>
      <c r="AE209" s="9"/>
      <c r="AF209" s="37"/>
      <c r="AG209" s="37"/>
      <c r="AH209" s="37"/>
      <c r="AI209" s="37"/>
      <c r="AJ209" s="37"/>
      <c r="AK209" s="38"/>
      <c r="AL209" s="37"/>
      <c r="AM209" s="38"/>
    </row>
    <row r="210" spans="1:39" x14ac:dyDescent="0.2">
      <c r="A210" s="9"/>
      <c r="B210" s="3">
        <v>1961</v>
      </c>
      <c r="C210" s="51" t="s">
        <v>210</v>
      </c>
      <c r="D210" s="26" t="s">
        <v>19</v>
      </c>
      <c r="E210" s="71">
        <f>(T210-W210)/(R210-W210-Z210+AD210)</f>
        <v>0.30174418604651165</v>
      </c>
      <c r="F210" s="71">
        <f>AA210/Q210</f>
        <v>0.33531377645748234</v>
      </c>
      <c r="G210" s="71">
        <f>(U210+V210+W210)/T210</f>
        <v>0.24315196998123828</v>
      </c>
      <c r="H210" s="71">
        <f>(AA210+X210)/Q210</f>
        <v>0.4097660601559599</v>
      </c>
      <c r="I210" s="71">
        <f>(AA210/R210)+((T210+Y210+AB210)/(R210+Y210+AB210+AD210))</f>
        <v>0.75007509062230548</v>
      </c>
      <c r="J210" s="71">
        <f>W210/AA210</f>
        <v>1.937984496124031E-2</v>
      </c>
      <c r="K210" s="71">
        <f>(AC210+AD210)/AA210</f>
        <v>0.10409745293466224</v>
      </c>
      <c r="L210" s="71">
        <f>Z210/Q210</f>
        <v>6.4519123653917571E-2</v>
      </c>
      <c r="M210" s="71">
        <f>(Y210+AB210)/Q210</f>
        <v>0.10369476420349052</v>
      </c>
      <c r="N210" s="57">
        <f>(E210*0.7635+F210*0.7562+G210*0.75+H210*0.7248+I210*0.7021+J210*0.6285+1-K210*0.5884+1-L210*0.5276+M210*0.3663)/6.931</f>
        <v>0.4970146438545468</v>
      </c>
      <c r="O210" s="64">
        <f>N210/0.4862*100</f>
        <v>102.22432000299193</v>
      </c>
      <c r="P210" s="155">
        <f>(O210-100)/100*Q210*0.3389</f>
        <v>81.201711119784335</v>
      </c>
      <c r="Q210" s="54">
        <v>10772</v>
      </c>
      <c r="R210" s="21">
        <f>Q210-Y210-AB210-AC210-AD210</f>
        <v>9279</v>
      </c>
      <c r="S210" s="20" t="s">
        <v>19</v>
      </c>
      <c r="T210" s="19">
        <v>2665</v>
      </c>
      <c r="U210" s="19">
        <v>419</v>
      </c>
      <c r="V210" s="19">
        <v>159</v>
      </c>
      <c r="W210" s="19">
        <v>70</v>
      </c>
      <c r="X210" s="19">
        <v>802</v>
      </c>
      <c r="Y210" s="54">
        <v>1040</v>
      </c>
      <c r="Z210" s="19">
        <v>695</v>
      </c>
      <c r="AA210" s="54">
        <f>T210+U210+V210*2+W210*3</f>
        <v>3612</v>
      </c>
      <c r="AB210" s="19">
        <v>77</v>
      </c>
      <c r="AC210" s="19">
        <v>290</v>
      </c>
      <c r="AD210" s="21">
        <v>86</v>
      </c>
      <c r="AE210" s="9"/>
      <c r="AF210" s="37"/>
      <c r="AG210" s="37"/>
      <c r="AH210" s="37"/>
      <c r="AI210" s="37"/>
      <c r="AJ210" s="37"/>
      <c r="AK210" s="38"/>
      <c r="AL210" s="37"/>
      <c r="AM210" s="38"/>
    </row>
    <row r="211" spans="1:39" x14ac:dyDescent="0.2">
      <c r="A211" s="9"/>
      <c r="B211" s="3">
        <v>1982</v>
      </c>
      <c r="C211" s="51" t="s">
        <v>138</v>
      </c>
      <c r="D211" s="26" t="s">
        <v>19</v>
      </c>
      <c r="E211" s="71">
        <f>(T211-W211)/(R211-W211-Z211+AD211)</f>
        <v>0.30302467990350712</v>
      </c>
      <c r="F211" s="71">
        <f>AA211/Q211</f>
        <v>0.39449266686620771</v>
      </c>
      <c r="G211" s="71">
        <f>(U211+V211+W211)/T211</f>
        <v>0.2895927601809955</v>
      </c>
      <c r="H211" s="71">
        <f>(AA211+X211)/Q211</f>
        <v>0.5335228973361269</v>
      </c>
      <c r="I211" s="71">
        <f>(AA211/R211)+((T211+Y211+AB211)/(R211+Y211+AB211+AD211))</f>
        <v>0.77306691769721603</v>
      </c>
      <c r="J211" s="71">
        <f>W211/AA211</f>
        <v>5.1213960546282244E-2</v>
      </c>
      <c r="K211" s="71">
        <f>(AC211+AD211)/AA211</f>
        <v>8.4977238239757211E-2</v>
      </c>
      <c r="L211" s="71">
        <f>Z211/Q211</f>
        <v>8.4555522298712965E-2</v>
      </c>
      <c r="M211" s="71">
        <f>(Y211+AB211)/Q211</f>
        <v>6.3154744088596226E-2</v>
      </c>
      <c r="N211" s="57">
        <f>(E211*0.7635+F211*0.7562+G211*0.75+H211*0.7248+I211*0.7021+J211*0.6285+1-K211*0.5884+1-L211*0.5276+M211*0.3663)/6.931</f>
        <v>0.52475059922791201</v>
      </c>
      <c r="O211" s="64">
        <f>N211/0.5069*100</f>
        <v>103.52152283052121</v>
      </c>
      <c r="P211" s="155">
        <f>(O211-100)/100*Q211*0.3389</f>
        <v>79.745933910956211</v>
      </c>
      <c r="Q211" s="54">
        <v>6682</v>
      </c>
      <c r="R211" s="21">
        <f>Q211-Y211-AB211-AC211-AD211</f>
        <v>6036</v>
      </c>
      <c r="S211" s="20" t="s">
        <v>19</v>
      </c>
      <c r="T211" s="19">
        <v>1768</v>
      </c>
      <c r="U211" s="19">
        <v>291</v>
      </c>
      <c r="V211" s="19">
        <v>86</v>
      </c>
      <c r="W211" s="19">
        <v>135</v>
      </c>
      <c r="X211" s="19">
        <v>929</v>
      </c>
      <c r="Y211" s="54">
        <v>412</v>
      </c>
      <c r="Z211" s="19">
        <v>565</v>
      </c>
      <c r="AA211" s="54">
        <f>T211+U211+V211*2+W211*3</f>
        <v>2636</v>
      </c>
      <c r="AB211" s="19">
        <v>10</v>
      </c>
      <c r="AC211" s="19">
        <v>171</v>
      </c>
      <c r="AD211" s="21">
        <v>53</v>
      </c>
      <c r="AE211" s="9"/>
      <c r="AF211" s="37"/>
      <c r="AG211" s="37"/>
      <c r="AH211" s="37"/>
      <c r="AI211" s="37"/>
      <c r="AJ211" s="37"/>
      <c r="AK211" s="38"/>
      <c r="AL211" s="37"/>
      <c r="AM211" s="38"/>
    </row>
    <row r="212" spans="1:39" x14ac:dyDescent="0.2">
      <c r="A212" s="9"/>
      <c r="B212" s="3">
        <v>2000</v>
      </c>
      <c r="C212" s="51" t="s">
        <v>85</v>
      </c>
      <c r="D212" s="26" t="s">
        <v>19</v>
      </c>
      <c r="E212" s="71">
        <f>(T212-W212)/(R212-W212-Z212+AD212)</f>
        <v>0.28503102378490175</v>
      </c>
      <c r="F212" s="71">
        <f>AA212/Q212</f>
        <v>0.32856082299289424</v>
      </c>
      <c r="G212" s="71">
        <f>(U212+V212+W212)/T212</f>
        <v>0.24136403897254208</v>
      </c>
      <c r="H212" s="71">
        <f>(AA212+X212)/Q212</f>
        <v>0.44225262488068723</v>
      </c>
      <c r="I212" s="71">
        <f>(AA212/R212)+((T212+Y212+AB212)/(R212+Y212+AB212+AD212))</f>
        <v>0.74363900183133791</v>
      </c>
      <c r="J212" s="71">
        <f>W212/AA212</f>
        <v>1.7107811491284701E-2</v>
      </c>
      <c r="K212" s="71">
        <f>(AC212+AD212)/AA212</f>
        <v>8.4570690768237575E-2</v>
      </c>
      <c r="L212" s="71">
        <f>Z212/Q212</f>
        <v>3.9983031074345109E-2</v>
      </c>
      <c r="M212" s="71">
        <f>(Y212+AB212)/Q212</f>
        <v>0.11411602502916535</v>
      </c>
      <c r="N212" s="57">
        <f>(E212*0.7635+F212*0.7562+G212*0.75+H212*0.7248+I212*0.7021+J212*0.6285+1-K212*0.5884+1-L212*0.5276+M212*0.3663)/6.931</f>
        <v>0.50085876118645367</v>
      </c>
      <c r="O212" s="64">
        <f>N212/0.4888*100</f>
        <v>102.46701333601753</v>
      </c>
      <c r="P212" s="155">
        <f>(O212-100)/100*Q212*0.3389</f>
        <v>78.833117577853173</v>
      </c>
      <c r="Q212" s="54">
        <v>9429</v>
      </c>
      <c r="R212" s="21">
        <f>Q212-Y212-AB212-AC212-AD212</f>
        <v>8091</v>
      </c>
      <c r="S212" s="20" t="s">
        <v>19</v>
      </c>
      <c r="T212" s="19">
        <v>2258</v>
      </c>
      <c r="U212" s="19">
        <v>303</v>
      </c>
      <c r="V212" s="19">
        <v>189</v>
      </c>
      <c r="W212" s="19">
        <v>53</v>
      </c>
      <c r="X212" s="19">
        <v>1072</v>
      </c>
      <c r="Y212" s="54">
        <v>982</v>
      </c>
      <c r="Z212" s="19">
        <v>377</v>
      </c>
      <c r="AA212" s="54">
        <f>T212+U212+V212*2+W212*3</f>
        <v>3098</v>
      </c>
      <c r="AB212" s="21">
        <v>94</v>
      </c>
      <c r="AC212" s="21">
        <v>187</v>
      </c>
      <c r="AD212" s="21">
        <v>75</v>
      </c>
      <c r="AE212" s="9"/>
      <c r="AF212" s="37"/>
      <c r="AG212" s="37"/>
      <c r="AH212" s="37"/>
      <c r="AI212" s="37"/>
      <c r="AJ212" s="37"/>
      <c r="AK212" s="38"/>
      <c r="AL212" s="37"/>
      <c r="AM212" s="38"/>
    </row>
    <row r="213" spans="1:39" x14ac:dyDescent="0.2">
      <c r="A213" s="9"/>
      <c r="B213" s="3">
        <v>2006</v>
      </c>
      <c r="C213" s="51" t="s">
        <v>63</v>
      </c>
      <c r="D213" s="26" t="s">
        <v>19</v>
      </c>
      <c r="E213" s="128">
        <f>(T213-W213)/(R213-W213-Z213+AD213)</f>
        <v>0.3946524064171123</v>
      </c>
      <c r="F213" s="71">
        <f>AA213/Q213</f>
        <v>0.48450946643717729</v>
      </c>
      <c r="G213" s="71">
        <f>(U213+V213+W213)/T213</f>
        <v>0.29639175257731959</v>
      </c>
      <c r="H213" s="71">
        <f>(AA213+X213)/Q213</f>
        <v>0.66006884681583478</v>
      </c>
      <c r="I213" s="71">
        <f>(AA213/R213)+((T213+Y213+AB213)/(R213+Y213+AB213+AD213))</f>
        <v>0.96381151028265677</v>
      </c>
      <c r="J213" s="71">
        <f>W213/AA213</f>
        <v>3.3747779751332148E-2</v>
      </c>
      <c r="K213" s="71">
        <f>(AC213+AD213)/AA213</f>
        <v>5.6838365896980464E-2</v>
      </c>
      <c r="L213" s="71">
        <f>Z213/Q213</f>
        <v>8.0034423407917388E-2</v>
      </c>
      <c r="M213" s="71">
        <f>(Y213+AB213)/Q213</f>
        <v>7.9173838209982791E-2</v>
      </c>
      <c r="N213" s="57">
        <f>(E213*0.7635+F213*0.7562+G213*0.75+H213*0.7248+I213*0.7021+J213*0.6285+1-K213*0.5884+1-L213*0.5276+M213*0.3663)/6.931</f>
        <v>0.57995223589958844</v>
      </c>
      <c r="O213" s="65">
        <f>N213/0.484*100</f>
        <v>119.82484212801414</v>
      </c>
      <c r="P213" s="155">
        <f>(O213-100)/100*Q213*0.3389</f>
        <v>78.070585147277981</v>
      </c>
      <c r="Q213" s="54">
        <v>1162</v>
      </c>
      <c r="R213" s="21">
        <f>Q213-Y213-AB213-AC213-AD213</f>
        <v>1038</v>
      </c>
      <c r="S213" s="20" t="s">
        <v>19</v>
      </c>
      <c r="T213" s="19">
        <v>388</v>
      </c>
      <c r="U213" s="19">
        <v>74</v>
      </c>
      <c r="V213" s="19">
        <v>22</v>
      </c>
      <c r="W213" s="19">
        <v>19</v>
      </c>
      <c r="X213" s="21">
        <v>204</v>
      </c>
      <c r="Y213" s="21">
        <v>82</v>
      </c>
      <c r="Z213" s="19">
        <v>93</v>
      </c>
      <c r="AA213" s="54">
        <f>T213+U213+V213*2+W213*3</f>
        <v>563</v>
      </c>
      <c r="AB213" s="21">
        <v>10</v>
      </c>
      <c r="AC213" s="21">
        <v>23</v>
      </c>
      <c r="AD213" s="21">
        <v>9</v>
      </c>
      <c r="AE213" s="9"/>
      <c r="AF213" s="37"/>
      <c r="AG213" s="37"/>
      <c r="AH213" s="37"/>
      <c r="AI213" s="37"/>
      <c r="AJ213" s="37"/>
      <c r="AK213" s="38"/>
      <c r="AL213" s="37"/>
      <c r="AM213" s="38"/>
    </row>
    <row r="214" spans="1:39" x14ac:dyDescent="0.2">
      <c r="A214" s="9"/>
      <c r="B214" s="3">
        <v>1967</v>
      </c>
      <c r="C214" s="106" t="s">
        <v>194</v>
      </c>
      <c r="D214" s="98">
        <v>0.86899999999999999</v>
      </c>
      <c r="E214" s="99">
        <f>(T214-W214)/(R214-W214-Z214+AD214)</f>
        <v>0.27993887190886357</v>
      </c>
      <c r="F214" s="99">
        <f>AA214/Q214</f>
        <v>0.33300944669365723</v>
      </c>
      <c r="G214" s="99">
        <f>(U214+V214+W214)/T214</f>
        <v>0.27847805788982261</v>
      </c>
      <c r="H214" s="99">
        <f>(AA214+S214)/Q214</f>
        <v>0.44717948717948719</v>
      </c>
      <c r="I214" s="99">
        <f>(AA214/R214)+((T214+Y214+AB214)/(R214+Y214+AB214+AD214))</f>
        <v>0.69661843440752924</v>
      </c>
      <c r="J214" s="99">
        <f>W214/AA214</f>
        <v>4.1173609985410926E-2</v>
      </c>
      <c r="K214" s="99">
        <f>(AC214+AD214)/AA214</f>
        <v>7.0027557140541416E-2</v>
      </c>
      <c r="L214" s="99">
        <f>Z214/Q214</f>
        <v>0.10726045883940621</v>
      </c>
      <c r="M214" s="99">
        <f>(Y214+AB214)/Q214</f>
        <v>8.6315789473684207E-2</v>
      </c>
      <c r="N214" s="100">
        <f>(1-E214*0.7635+1-F214*0.7562+1-G214*0.75+1-H214*0.7248+1-I214*0.7021+1-J214*0.6285+K214*0.5884+L214*0.5276+1-M214*0.3663)/11.068</f>
        <v>0.50168726367278438</v>
      </c>
      <c r="O214" s="105">
        <f>N214/0.4986*100</f>
        <v>100.61918645663546</v>
      </c>
      <c r="P214" s="102">
        <f>(O214-100)/100*Q214*0.6611</f>
        <v>75.83100684073554</v>
      </c>
      <c r="Q214" s="54">
        <v>18525</v>
      </c>
      <c r="R214" s="21">
        <f>Q214-Y214-AB214-AC214-AD214</f>
        <v>16494</v>
      </c>
      <c r="S214" s="19">
        <v>2115</v>
      </c>
      <c r="T214" s="19">
        <v>4284</v>
      </c>
      <c r="U214" s="19">
        <v>755</v>
      </c>
      <c r="V214" s="19">
        <v>184</v>
      </c>
      <c r="W214" s="19">
        <v>254</v>
      </c>
      <c r="X214" s="20" t="s">
        <v>19</v>
      </c>
      <c r="Y214" s="54">
        <v>1541</v>
      </c>
      <c r="Z214" s="19">
        <v>1987</v>
      </c>
      <c r="AA214" s="54">
        <f>T214+U214+V214*2+W214*3</f>
        <v>6169</v>
      </c>
      <c r="AB214" s="19">
        <v>58</v>
      </c>
      <c r="AC214" s="19">
        <v>289</v>
      </c>
      <c r="AD214" s="21">
        <v>143</v>
      </c>
      <c r="AE214" s="9"/>
      <c r="AF214" s="37"/>
      <c r="AG214" s="37"/>
      <c r="AH214" s="37"/>
      <c r="AI214" s="37"/>
      <c r="AJ214" s="37"/>
      <c r="AK214" s="38"/>
      <c r="AL214" s="37"/>
      <c r="AM214" s="38"/>
    </row>
    <row r="215" spans="1:39" x14ac:dyDescent="0.2">
      <c r="A215" s="9"/>
      <c r="B215" s="3">
        <v>1949</v>
      </c>
      <c r="C215" s="106" t="s">
        <v>235</v>
      </c>
      <c r="D215" s="98" t="s">
        <v>19</v>
      </c>
      <c r="E215" s="99">
        <f>(T215-W215)/(R215-W215-Z215+AD215)</f>
        <v>0.27725820505373222</v>
      </c>
      <c r="F215" s="99">
        <f>AA215/Q215</f>
        <v>0.31802455092658422</v>
      </c>
      <c r="G215" s="99">
        <f>(U215+V215+W215)/T215</f>
        <v>0.23635625887603975</v>
      </c>
      <c r="H215" s="99">
        <f>(AA215+S215)/Q215</f>
        <v>0.43556566661927104</v>
      </c>
      <c r="I215" s="99">
        <f>(AA215/R215)+((T215+Y215+AB215)/(R215+Y215+AB215+AD215))</f>
        <v>0.65815172153429302</v>
      </c>
      <c r="J215" s="99">
        <f>W215/AA215</f>
        <v>2.324888226527571E-2</v>
      </c>
      <c r="K215" s="99">
        <f>(AC215+AD215)/AA215</f>
        <v>9.1952309985096875E-2</v>
      </c>
      <c r="L215" s="99">
        <f>Z215/Q215</f>
        <v>8.9151144604009663E-2</v>
      </c>
      <c r="M215" s="99">
        <f>(Y215+AB215)/Q215</f>
        <v>6.640125124413479E-2</v>
      </c>
      <c r="N215" s="100">
        <f>(1-E215*0.7635+1-F215*0.7562+1-G215*0.75+1-H215*0.7248+1-I215*0.7021+1-J215*0.6285+K215*0.5884+L215*0.5276+1-M215*0.3663)/11.068</f>
        <v>0.51093023710451235</v>
      </c>
      <c r="O215" s="101">
        <f>N215/0.5082*100</f>
        <v>100.53723673839283</v>
      </c>
      <c r="P215" s="102">
        <f>(O215-100)/100*Q215*0.6611</f>
        <v>74.936729163489659</v>
      </c>
      <c r="Q215" s="54">
        <v>21099</v>
      </c>
      <c r="R215" s="21">
        <f>Q215-Y215-AB215-AC215-AD215</f>
        <v>19081</v>
      </c>
      <c r="S215" s="19">
        <v>2480</v>
      </c>
      <c r="T215" s="19">
        <v>4929</v>
      </c>
      <c r="U215" s="21">
        <v>705</v>
      </c>
      <c r="V215" s="21">
        <v>304</v>
      </c>
      <c r="W215" s="19">
        <v>156</v>
      </c>
      <c r="X215" s="20" t="s">
        <v>19</v>
      </c>
      <c r="Y215" s="54">
        <v>1272</v>
      </c>
      <c r="Z215" s="19">
        <v>1881</v>
      </c>
      <c r="AA215" s="21">
        <f>T215+U215+V215*2+W215*3</f>
        <v>6710</v>
      </c>
      <c r="AB215" s="19">
        <v>129</v>
      </c>
      <c r="AC215" s="21">
        <v>446</v>
      </c>
      <c r="AD215" s="21">
        <v>171</v>
      </c>
      <c r="AE215" s="9"/>
      <c r="AF215" s="37"/>
      <c r="AG215" s="37"/>
      <c r="AH215" s="37"/>
      <c r="AI215" s="37"/>
      <c r="AJ215" s="37"/>
      <c r="AK215" s="38"/>
      <c r="AL215" s="37"/>
      <c r="AM215" s="38"/>
    </row>
    <row r="216" spans="1:39" x14ac:dyDescent="0.2">
      <c r="A216" s="9"/>
      <c r="B216" s="3">
        <v>1977</v>
      </c>
      <c r="C216" s="51" t="s">
        <v>149</v>
      </c>
      <c r="D216" s="26" t="s">
        <v>19</v>
      </c>
      <c r="E216" s="71">
        <f>(T216-W216)/(R216-W216-Z216+AD216)</f>
        <v>0.30163934426229511</v>
      </c>
      <c r="F216" s="71">
        <f>AA216/Q216</f>
        <v>0.45670731707317075</v>
      </c>
      <c r="G216" s="71">
        <f>(U216+V216+W216)/T216</f>
        <v>0.36238532110091742</v>
      </c>
      <c r="H216" s="71">
        <f>(AA216+X216)/Q216</f>
        <v>0.64512195121951221</v>
      </c>
      <c r="I216" s="71">
        <f>(AA216/R216)+((T216+Y216+AB216)/(R216+Y216+AB216+AD216))</f>
        <v>0.92941756272401443</v>
      </c>
      <c r="J216" s="71">
        <f>W216/AA216</f>
        <v>9.0787716955941261E-2</v>
      </c>
      <c r="K216" s="71">
        <f>(AC216+AD216)/AA216</f>
        <v>7.0761014686248333E-2</v>
      </c>
      <c r="L216" s="71">
        <f>Z216/Q216</f>
        <v>7.3170731707317069E-2</v>
      </c>
      <c r="M216" s="71">
        <f>(Y216+AB216)/Q216</f>
        <v>0.11707317073170732</v>
      </c>
      <c r="N216" s="57">
        <f>(E216*0.7635+F216*0.7562+G216*0.75+H216*0.7248+I216*0.7021+J216*0.6285+1-K216*0.5884+1-L216*0.5276+M216*0.3663)/6.931</f>
        <v>0.57528271358083671</v>
      </c>
      <c r="O216" s="64">
        <f>N216/0.5071*100</f>
        <v>113.44561498340302</v>
      </c>
      <c r="P216" s="155">
        <f>(O216-100)/100*Q216*0.3389</f>
        <v>74.730190253154632</v>
      </c>
      <c r="Q216" s="54">
        <v>1640</v>
      </c>
      <c r="R216" s="21">
        <f>Q216-Y216-AB216-AC216-AD216</f>
        <v>1395</v>
      </c>
      <c r="S216" s="19" t="s">
        <v>19</v>
      </c>
      <c r="T216" s="19">
        <v>436</v>
      </c>
      <c r="U216" s="19">
        <v>71</v>
      </c>
      <c r="V216" s="19">
        <v>19</v>
      </c>
      <c r="W216" s="19">
        <v>68</v>
      </c>
      <c r="X216" s="19">
        <v>309</v>
      </c>
      <c r="Y216" s="54">
        <v>184</v>
      </c>
      <c r="Z216" s="21">
        <v>120</v>
      </c>
      <c r="AA216" s="54">
        <f>T216+U216+V216*2+W216*3</f>
        <v>749</v>
      </c>
      <c r="AB216" s="21">
        <v>8</v>
      </c>
      <c r="AC216" s="21">
        <v>40</v>
      </c>
      <c r="AD216" s="21">
        <v>13</v>
      </c>
      <c r="AE216" s="9"/>
      <c r="AF216" s="37"/>
      <c r="AG216" s="37"/>
      <c r="AH216" s="37"/>
      <c r="AI216" s="37"/>
      <c r="AJ216" s="37"/>
      <c r="AK216" s="38"/>
      <c r="AL216" s="37"/>
      <c r="AM216" s="38"/>
    </row>
    <row r="217" spans="1:39" x14ac:dyDescent="0.2">
      <c r="A217" s="9"/>
      <c r="B217" s="3">
        <v>1975</v>
      </c>
      <c r="C217" s="51" t="s">
        <v>159</v>
      </c>
      <c r="D217" s="26" t="s">
        <v>19</v>
      </c>
      <c r="E217" s="71">
        <f>(T217-W217)/(R217-W217-Z217+AD217)</f>
        <v>0.31775442477876104</v>
      </c>
      <c r="F217" s="71">
        <f>AA217/Q217</f>
        <v>0.36292095822242798</v>
      </c>
      <c r="G217" s="71">
        <f>(U217+V217+W217)/T217</f>
        <v>0.26226012793176973</v>
      </c>
      <c r="H217" s="71">
        <f>(AA217+X217)/Q217</f>
        <v>0.46001620182849207</v>
      </c>
      <c r="I217" s="71">
        <f>(AA217/R217)+((T217+Y217+AB217)/(R217+Y217+AB217+AD217))</f>
        <v>0.77741335294881231</v>
      </c>
      <c r="J217" s="71">
        <f>W217/AA217</f>
        <v>1.4987244897959183E-2</v>
      </c>
      <c r="K217" s="71">
        <f>(AC217+AD217)/AA217</f>
        <v>7.5892857142857137E-2</v>
      </c>
      <c r="L217" s="71">
        <f>Z217/Q217</f>
        <v>4.9531304247193611E-2</v>
      </c>
      <c r="M217" s="71">
        <f>(Y217+AB217)/Q217</f>
        <v>8.8299965281796094E-2</v>
      </c>
      <c r="N217" s="57">
        <f>(E217*0.7635+F217*0.7562+G217*0.75+H217*0.7248+I217*0.7021+J217*0.6285+1-K217*0.5884+1-L217*0.5276+M217*0.3663)/6.931</f>
        <v>0.51420556535900686</v>
      </c>
      <c r="O217" s="64">
        <f>N217/0.5016*100</f>
        <v>102.51307124382114</v>
      </c>
      <c r="P217" s="155">
        <f>(O217-100)/100*Q217*0.3389</f>
        <v>73.593655365922487</v>
      </c>
      <c r="Q217" s="54">
        <v>8641</v>
      </c>
      <c r="R217" s="21">
        <f>Q217-Y217-AB217-AC217-AD217</f>
        <v>7640</v>
      </c>
      <c r="S217" s="20" t="s">
        <v>19</v>
      </c>
      <c r="T217" s="19">
        <v>2345</v>
      </c>
      <c r="U217" s="19">
        <v>486</v>
      </c>
      <c r="V217" s="19">
        <v>82</v>
      </c>
      <c r="W217" s="19">
        <v>47</v>
      </c>
      <c r="X217" s="19">
        <v>839</v>
      </c>
      <c r="Y217" s="54">
        <v>737</v>
      </c>
      <c r="Z217" s="19">
        <v>428</v>
      </c>
      <c r="AA217" s="54">
        <f>T217+U217+V217*2+W217*3</f>
        <v>3136</v>
      </c>
      <c r="AB217" s="19">
        <v>26</v>
      </c>
      <c r="AC217" s="19">
        <v>171</v>
      </c>
      <c r="AD217" s="21">
        <v>67</v>
      </c>
      <c r="AE217" s="9"/>
      <c r="AF217" s="37"/>
      <c r="AG217" s="37"/>
      <c r="AH217" s="37"/>
      <c r="AI217" s="37"/>
      <c r="AJ217" s="37"/>
      <c r="AK217" s="38"/>
      <c r="AL217" s="37"/>
      <c r="AM217" s="38"/>
    </row>
    <row r="218" spans="1:39" x14ac:dyDescent="0.2">
      <c r="A218" s="9"/>
      <c r="B218" s="3">
        <v>1977</v>
      </c>
      <c r="C218" s="51" t="s">
        <v>152</v>
      </c>
      <c r="D218" s="26" t="s">
        <v>19</v>
      </c>
      <c r="E218" s="71">
        <f>(T218-W218)/(R218-W218-Z218+AD218)</f>
        <v>0.31220421626272765</v>
      </c>
      <c r="F218" s="71">
        <f>AA218/Q218</f>
        <v>0.35341413656546261</v>
      </c>
      <c r="G218" s="71">
        <f>(U218+V218+W218)/T218</f>
        <v>0.24842767295597484</v>
      </c>
      <c r="H218" s="71">
        <f>(AA218+X218)/Q218</f>
        <v>0.4798991959678387</v>
      </c>
      <c r="I218" s="71">
        <f>(AA218/R218)+((T218+Y218+AB218)/(R218+Y218+AB218+AD218))</f>
        <v>0.807157547744908</v>
      </c>
      <c r="J218" s="71">
        <f>W218/AA218</f>
        <v>1.6638370118845502E-2</v>
      </c>
      <c r="K218" s="71">
        <f>(AC218+AD218)/AA218</f>
        <v>0.11544991511035653</v>
      </c>
      <c r="L218" s="128">
        <f>Z218/Q218</f>
        <v>1.3680547221888875E-2</v>
      </c>
      <c r="M218" s="71">
        <f>(Y218+AB218)/Q218</f>
        <v>0.11064442577703108</v>
      </c>
      <c r="N218" s="57">
        <f>(E218*0.7635+F218*0.7562+G218*0.75+H218*0.7248+I218*0.7021+J218*0.6285+1-K218*0.5884+1-L218*0.5276+M218*0.3663)/6.931</f>
        <v>0.51685389949937743</v>
      </c>
      <c r="O218" s="64">
        <f>N218/0.5042*100</f>
        <v>102.50969843303797</v>
      </c>
      <c r="P218" s="155">
        <f>(O218-100)/100*Q218*0.3389</f>
        <v>70.875231457050774</v>
      </c>
      <c r="Q218" s="54">
        <v>8333</v>
      </c>
      <c r="R218" s="21">
        <f>Q218-Y218-AB218-AC218-AD218</f>
        <v>7071</v>
      </c>
      <c r="S218" s="20" t="s">
        <v>19</v>
      </c>
      <c r="T218" s="19">
        <v>2226</v>
      </c>
      <c r="U218" s="19">
        <v>436</v>
      </c>
      <c r="V218" s="19">
        <v>68</v>
      </c>
      <c r="W218" s="19">
        <v>49</v>
      </c>
      <c r="X218" s="19">
        <v>1054</v>
      </c>
      <c r="Y218" s="54">
        <v>842</v>
      </c>
      <c r="Z218" s="19">
        <v>114</v>
      </c>
      <c r="AA218" s="54">
        <f>T218+U218+V218*2+W218*3</f>
        <v>2945</v>
      </c>
      <c r="AB218" s="19">
        <v>80</v>
      </c>
      <c r="AC218" s="19">
        <v>275</v>
      </c>
      <c r="AD218" s="21">
        <v>65</v>
      </c>
      <c r="AE218" s="9"/>
      <c r="AF218" s="37"/>
      <c r="AG218" s="37"/>
      <c r="AH218" s="37"/>
      <c r="AI218" s="37"/>
      <c r="AJ218" s="37"/>
      <c r="AK218" s="38"/>
      <c r="AL218" s="37"/>
      <c r="AM218" s="38"/>
    </row>
    <row r="219" spans="1:39" x14ac:dyDescent="0.2">
      <c r="A219" s="9"/>
      <c r="B219" s="3">
        <v>2006</v>
      </c>
      <c r="C219" s="51" t="s">
        <v>69</v>
      </c>
      <c r="D219" s="26" t="s">
        <v>19</v>
      </c>
      <c r="E219" s="71">
        <f>(T219-W219)/(R219-W219-Z219+AD219)</f>
        <v>0.3631151457238414</v>
      </c>
      <c r="F219" s="71">
        <f>AA219/Q219</f>
        <v>0.40798479087452472</v>
      </c>
      <c r="G219" s="71">
        <f>(U219+V219+W219)/T219</f>
        <v>0.25190839694656486</v>
      </c>
      <c r="H219" s="71">
        <f>(AA219+X219)/Q219</f>
        <v>0.57870722433460076</v>
      </c>
      <c r="I219" s="71">
        <f>(AA219/R219)+((T219+Y219+AB219)/(R219+Y219+AB219+AD219))</f>
        <v>0.86264082301386624</v>
      </c>
      <c r="J219" s="71">
        <f>W219/AA219</f>
        <v>2.4231127679403542E-2</v>
      </c>
      <c r="K219" s="71">
        <f>(AC219+AD219)/AA219</f>
        <v>8.2945013979496732E-2</v>
      </c>
      <c r="L219" s="71">
        <f>Z219/Q219</f>
        <v>7.9847908745247151E-2</v>
      </c>
      <c r="M219" s="71">
        <f>(Y219+AB219)/Q219</f>
        <v>8.8593155893536127E-2</v>
      </c>
      <c r="N219" s="57">
        <f>(E219*0.7635+F219*0.7562+G219*0.75+H219*0.7248+I219*0.7021+J219*0.6285+1-K219*0.5884+1-L219*0.5276+M219*0.3663)/6.931</f>
        <v>0.54199152535506057</v>
      </c>
      <c r="O219" s="64">
        <f>N219/0.5026*100</f>
        <v>107.83754981198976</v>
      </c>
      <c r="P219" s="155">
        <f>(O219-100)/100*Q219*0.3389</f>
        <v>69.856630102751552</v>
      </c>
      <c r="Q219" s="54">
        <v>2630</v>
      </c>
      <c r="R219" s="21">
        <f>Q219-Y219-AB219-AC219-AD219</f>
        <v>2308</v>
      </c>
      <c r="S219" s="20" t="s">
        <v>19</v>
      </c>
      <c r="T219" s="19">
        <v>786</v>
      </c>
      <c r="U219" s="19">
        <v>135</v>
      </c>
      <c r="V219" s="19">
        <v>37</v>
      </c>
      <c r="W219" s="19">
        <v>26</v>
      </c>
      <c r="X219" s="19">
        <v>449</v>
      </c>
      <c r="Y219" s="54">
        <v>223</v>
      </c>
      <c r="Z219" s="21">
        <v>210</v>
      </c>
      <c r="AA219" s="54">
        <f>T219+U219+V219*2+W219*3</f>
        <v>1073</v>
      </c>
      <c r="AB219" s="19">
        <v>10</v>
      </c>
      <c r="AC219" s="19">
        <v>68</v>
      </c>
      <c r="AD219" s="21">
        <v>21</v>
      </c>
      <c r="AE219" s="9"/>
      <c r="AF219" s="37"/>
      <c r="AG219" s="37"/>
      <c r="AH219" s="37"/>
      <c r="AI219" s="37"/>
      <c r="AJ219" s="37"/>
      <c r="AK219" s="38"/>
      <c r="AL219" s="37"/>
      <c r="AM219" s="38"/>
    </row>
    <row r="220" spans="1:39" x14ac:dyDescent="0.2">
      <c r="A220" s="9"/>
      <c r="B220" s="3">
        <v>1970</v>
      </c>
      <c r="C220" s="106" t="s">
        <v>186</v>
      </c>
      <c r="D220" s="98" t="s">
        <v>19</v>
      </c>
      <c r="E220" s="99">
        <f>(T220-W220)/(R220-W220-Z220+AD220)</f>
        <v>0.29050772626931565</v>
      </c>
      <c r="F220" s="99">
        <f>AA220/Q220</f>
        <v>0.34781332550631056</v>
      </c>
      <c r="G220" s="99">
        <f>(U220+V220+W220)/T220</f>
        <v>0.23617945007235891</v>
      </c>
      <c r="H220" s="99">
        <f>(AA220+S220)/Q220</f>
        <v>0.46191664220722045</v>
      </c>
      <c r="I220" s="99">
        <f>(AA220/R220)+((T220+Y220+AB220)/(R220+Y220+AB220+AD220))</f>
        <v>0.71054567235658794</v>
      </c>
      <c r="J220" s="99">
        <f>W220/AA220</f>
        <v>3.4810126582278479E-2</v>
      </c>
      <c r="K220" s="99">
        <f>(AC220+AD220)/AA220</f>
        <v>7.1518987341772158E-2</v>
      </c>
      <c r="L220" s="99">
        <f>Z220/Q220</f>
        <v>7.1837393601408867E-2</v>
      </c>
      <c r="M220" s="99">
        <f>(Y220+AB220)/Q220</f>
        <v>6.8021719988259469E-2</v>
      </c>
      <c r="N220" s="100">
        <f>(1-E220*0.7635+1-F220*0.7562+1-G220*0.75+1-H220*0.7248+1-I220*0.7021+1-J220*0.6285+K220*0.5884+L220*0.5276+1-M220*0.3663)/11.068</f>
        <v>0.50032198123285354</v>
      </c>
      <c r="O220" s="101">
        <f>N220/0.4965*100</f>
        <v>100.76978473974896</v>
      </c>
      <c r="P220" s="102">
        <f>(O220-100)/100*Q220*0.6611</f>
        <v>69.353531350538262</v>
      </c>
      <c r="Q220" s="54">
        <v>13628</v>
      </c>
      <c r="R220" s="21">
        <f>Q220-Y220-AB220-AC220-AD220</f>
        <v>12362</v>
      </c>
      <c r="S220" s="19">
        <v>1555</v>
      </c>
      <c r="T220" s="19">
        <v>3455</v>
      </c>
      <c r="U220" s="19">
        <v>512</v>
      </c>
      <c r="V220" s="19">
        <v>139</v>
      </c>
      <c r="W220" s="19">
        <v>165</v>
      </c>
      <c r="X220" s="20" t="s">
        <v>19</v>
      </c>
      <c r="Y220" s="54">
        <v>870</v>
      </c>
      <c r="Z220" s="19">
        <v>979</v>
      </c>
      <c r="AA220" s="54">
        <f>T220+U220+V220*2+W220*3</f>
        <v>4740</v>
      </c>
      <c r="AB220" s="19">
        <v>57</v>
      </c>
      <c r="AC220" s="19">
        <v>232</v>
      </c>
      <c r="AD220" s="21">
        <v>107</v>
      </c>
      <c r="AE220" s="9"/>
      <c r="AF220" s="37"/>
      <c r="AG220" s="37"/>
      <c r="AH220" s="37"/>
      <c r="AI220" s="37"/>
      <c r="AJ220" s="37"/>
      <c r="AK220" s="38"/>
      <c r="AL220" s="37"/>
      <c r="AM220" s="38"/>
    </row>
    <row r="221" spans="1:39" x14ac:dyDescent="0.2">
      <c r="A221" s="9"/>
      <c r="B221" s="3">
        <v>2020</v>
      </c>
      <c r="C221" s="51" t="s">
        <v>20</v>
      </c>
      <c r="D221" s="26">
        <v>0.997</v>
      </c>
      <c r="E221" s="71">
        <f>(T221-W221)/(R221-W221-Z221+AD221)</f>
        <v>0.35015841800502567</v>
      </c>
      <c r="F221" s="71">
        <f>AA221/Q221</f>
        <v>0.39049357244881766</v>
      </c>
      <c r="G221" s="71">
        <f>(U221+V221+W221)/T221</f>
        <v>0.25108225108225107</v>
      </c>
      <c r="H221" s="71">
        <f>(AA221+X221)/Q221</f>
        <v>0.49452467862244087</v>
      </c>
      <c r="I221" s="71">
        <f>(AA221/R221)+((T221+Y221+AB221)/(R221+Y221+AB221+AD221))</f>
        <v>0.81678035351290479</v>
      </c>
      <c r="J221" s="71">
        <f>W221/AA221</f>
        <v>5.2834789676894943E-2</v>
      </c>
      <c r="K221" s="71">
        <f>(AC221+AD221)/AA221</f>
        <v>3.1497663076610442E-2</v>
      </c>
      <c r="L221" s="71">
        <f>Z221/Q221</f>
        <v>0.14600857006824314</v>
      </c>
      <c r="M221" s="71">
        <f>(Y221+AB221)/Q221</f>
        <v>9.934930963339153E-2</v>
      </c>
      <c r="N221" s="57">
        <f>(E221*0.7635+F221*0.7562+G221*0.75+H221*0.7248+I221*0.7021+J221*0.6285+1-K221*0.5884+1-L221*0.5276+M221*0.3663)/6.931</f>
        <v>0.52761114184383695</v>
      </c>
      <c r="O221" s="64">
        <f>N221/0.5193*100</f>
        <v>101.60045096164778</v>
      </c>
      <c r="P221" s="155">
        <f>(O221-100)/100*Q221*0.3389</f>
        <v>68.352344550324574</v>
      </c>
      <c r="Q221" s="54">
        <v>12602</v>
      </c>
      <c r="R221" s="54">
        <f>Q221-Y221-AB221-AC221-AD221</f>
        <v>11195</v>
      </c>
      <c r="S221" s="20" t="s">
        <v>19</v>
      </c>
      <c r="T221" s="19">
        <v>3465</v>
      </c>
      <c r="U221" s="19">
        <v>544</v>
      </c>
      <c r="V221" s="19">
        <v>66</v>
      </c>
      <c r="W221" s="19">
        <v>260</v>
      </c>
      <c r="X221" s="19">
        <v>1311</v>
      </c>
      <c r="Y221" s="54">
        <v>1082</v>
      </c>
      <c r="Z221" s="19">
        <v>1840</v>
      </c>
      <c r="AA221" s="54">
        <f>T221+U221+V221*2+W221*3</f>
        <v>4921</v>
      </c>
      <c r="AB221" s="19">
        <v>170</v>
      </c>
      <c r="AC221" s="19">
        <v>97</v>
      </c>
      <c r="AD221" s="19">
        <v>58</v>
      </c>
      <c r="AE221" s="9"/>
      <c r="AF221" s="37"/>
      <c r="AG221" s="37"/>
      <c r="AH221" s="37"/>
      <c r="AI221" s="37"/>
      <c r="AJ221" s="37"/>
      <c r="AK221" s="38"/>
      <c r="AL221" s="37"/>
      <c r="AM221" s="38"/>
    </row>
    <row r="222" spans="1:39" x14ac:dyDescent="0.2">
      <c r="A222" s="9"/>
      <c r="B222" s="3">
        <v>1963</v>
      </c>
      <c r="C222" s="106" t="s">
        <v>203</v>
      </c>
      <c r="D222" s="98" t="s">
        <v>19</v>
      </c>
      <c r="E222" s="99">
        <f>(T222-W222)/(R222-W222-Z222+AD222)</f>
        <v>0.2708401545412874</v>
      </c>
      <c r="F222" s="99">
        <f>AA222/Q222</f>
        <v>0.31348584560743759</v>
      </c>
      <c r="G222" s="99">
        <f>(U222+V222+W222)/T222</f>
        <v>0.25611175785797441</v>
      </c>
      <c r="H222" s="99">
        <f>(AA222+S222)/Q222</f>
        <v>0.43800271597200457</v>
      </c>
      <c r="I222" s="99">
        <f>(AA222/R222)+((T222+Y222+AB222)/(R222+Y222+AB222+AD222))</f>
        <v>0.64866158563950527</v>
      </c>
      <c r="J222" s="99">
        <f>W222/AA222</f>
        <v>2.6491169610129955E-2</v>
      </c>
      <c r="K222" s="99">
        <f>(AC222+AD222)/AA222</f>
        <v>8.9636787737420856E-2</v>
      </c>
      <c r="L222" s="99">
        <f>Z222/Q222</f>
        <v>0.10331139663637313</v>
      </c>
      <c r="M222" s="99">
        <f>(Y222+AB222)/Q222</f>
        <v>7.04585814269299E-2</v>
      </c>
      <c r="N222" s="100">
        <f>(1-E222*0.7635+1-F222*0.7562+1-G222*0.75+1-H222*0.7248+1-I222*0.7021+1-J222*0.6285+K222*0.5884+L222*0.5276+1-M222*0.3663)/11.068</f>
        <v>0.51102030715985669</v>
      </c>
      <c r="O222" s="105">
        <f>N222/0.5084*100</f>
        <v>100.51540266716302</v>
      </c>
      <c r="P222" s="102">
        <f>(O222-100)/100*Q222*0.6611</f>
        <v>65.236683366441071</v>
      </c>
      <c r="Q222" s="54">
        <v>19146</v>
      </c>
      <c r="R222" s="21">
        <f>Q222-Y222-AB222-AC222-AD222</f>
        <v>17259</v>
      </c>
      <c r="S222" s="19">
        <v>2384</v>
      </c>
      <c r="T222" s="19">
        <v>4295</v>
      </c>
      <c r="U222" s="21">
        <v>652</v>
      </c>
      <c r="V222" s="21">
        <v>289</v>
      </c>
      <c r="W222" s="19">
        <v>159</v>
      </c>
      <c r="X222" s="20" t="s">
        <v>19</v>
      </c>
      <c r="Y222" s="54">
        <v>1191</v>
      </c>
      <c r="Z222" s="19">
        <v>1978</v>
      </c>
      <c r="AA222" s="21">
        <f>T222+U222+V222*2+W222*3</f>
        <v>6002</v>
      </c>
      <c r="AB222" s="21">
        <v>158</v>
      </c>
      <c r="AC222" s="21">
        <v>389</v>
      </c>
      <c r="AD222" s="21">
        <v>149</v>
      </c>
      <c r="AE222" s="9"/>
      <c r="AF222" s="37"/>
      <c r="AG222" s="37"/>
      <c r="AH222" s="37"/>
      <c r="AI222" s="37"/>
      <c r="AJ222" s="37"/>
      <c r="AK222" s="38"/>
      <c r="AL222" s="37"/>
      <c r="AM222" s="38"/>
    </row>
    <row r="223" spans="1:39" x14ac:dyDescent="0.2">
      <c r="A223" s="9"/>
      <c r="B223" s="3">
        <v>2018</v>
      </c>
      <c r="C223" s="51" t="s">
        <v>34</v>
      </c>
      <c r="D223" s="26" t="s">
        <v>19</v>
      </c>
      <c r="E223" s="71">
        <f>(T223-W223)/(R223-W223-Z223+AD223)</f>
        <v>0.29838488913222011</v>
      </c>
      <c r="F223" s="71">
        <f>AA223/Q223</f>
        <v>0.36710750853242319</v>
      </c>
      <c r="G223" s="71">
        <f>(U223+V223+W223)/T223</f>
        <v>0.27568710359408033</v>
      </c>
      <c r="H223" s="71">
        <f>(AA223+X223)/Q223</f>
        <v>0.47408276450511944</v>
      </c>
      <c r="I223" s="71">
        <f>(AA223/R223)+((T223+Y223+AB223)/(R223+Y223+AB223+AD223))</f>
        <v>0.76674069473724726</v>
      </c>
      <c r="J223" s="71">
        <f>W223/AA223</f>
        <v>5.3747821034282391E-2</v>
      </c>
      <c r="K223" s="71">
        <f>(AC223+AD223)/AA223</f>
        <v>5.8105752469494482E-2</v>
      </c>
      <c r="L223" s="71">
        <f>Z223/Q223</f>
        <v>9.3216723549488054E-2</v>
      </c>
      <c r="M223" s="71">
        <f>(Y223+AB223)/Q223</f>
        <v>9.4603242320819111E-2</v>
      </c>
      <c r="N223" s="57">
        <f>(E223*0.7635+F223*0.7562+G223*0.75+H223*0.7248+I223*0.7021+J223*0.6285+1-K223*0.5884+1-L223*0.5276+M223*0.3663)/6.931</f>
        <v>0.5164039565824502</v>
      </c>
      <c r="O223" s="64">
        <f>N223/0.5064*100</f>
        <v>101.97550485435431</v>
      </c>
      <c r="P223" s="155">
        <f>(O223-100)/100*Q223*0.3389</f>
        <v>62.772188280389827</v>
      </c>
      <c r="Q223" s="54">
        <v>9376</v>
      </c>
      <c r="R223" s="54">
        <f>Q223-Y223-AB223-AC223-AD223</f>
        <v>8289</v>
      </c>
      <c r="S223" s="19" t="s">
        <v>19</v>
      </c>
      <c r="T223" s="19">
        <v>2365</v>
      </c>
      <c r="U223" s="19">
        <v>412</v>
      </c>
      <c r="V223" s="19">
        <v>55</v>
      </c>
      <c r="W223" s="19">
        <v>185</v>
      </c>
      <c r="X223" s="19">
        <v>1003</v>
      </c>
      <c r="Y223" s="54">
        <v>850</v>
      </c>
      <c r="Z223" s="19">
        <v>874</v>
      </c>
      <c r="AA223" s="54">
        <f>T223+U223+V223*2+W223*3</f>
        <v>3442</v>
      </c>
      <c r="AB223" s="19">
        <v>37</v>
      </c>
      <c r="AC223" s="19">
        <v>124</v>
      </c>
      <c r="AD223" s="19">
        <v>76</v>
      </c>
      <c r="AE223" s="9"/>
      <c r="AF223" s="37"/>
      <c r="AG223" s="37"/>
      <c r="AH223" s="37"/>
      <c r="AI223" s="37"/>
      <c r="AJ223" s="37"/>
      <c r="AK223" s="38"/>
      <c r="AL223" s="37"/>
      <c r="AM223" s="38"/>
    </row>
    <row r="224" spans="1:39" x14ac:dyDescent="0.2">
      <c r="A224" s="9"/>
      <c r="B224" s="3">
        <v>1946</v>
      </c>
      <c r="C224" s="51" t="s">
        <v>248</v>
      </c>
      <c r="D224" s="26" t="s">
        <v>19</v>
      </c>
      <c r="E224" s="71">
        <f>(T224-W224)/(R224-W224-Z224+AD224)</f>
        <v>0.2812817904374364</v>
      </c>
      <c r="F224" s="71">
        <f>AA224/Q224</f>
        <v>0.31733184482277421</v>
      </c>
      <c r="G224" s="71">
        <f>(U224+V224+W224)/T224</f>
        <v>0.24142011834319527</v>
      </c>
      <c r="H224" s="71">
        <f>(AA224+X224)/Q224</f>
        <v>0.4268769187831426</v>
      </c>
      <c r="I224" s="71">
        <f>(AA224/R224)+((T224+Y224+AB224)/(R224+Y224+AB224+AD224))</f>
        <v>0.66299257365612707</v>
      </c>
      <c r="J224" s="71">
        <f>W224/AA224</f>
        <v>1.3632365875109938E-2</v>
      </c>
      <c r="K224" s="71">
        <f>(AC224+AD224)/AA224</f>
        <v>0.15083553210202286</v>
      </c>
      <c r="L224" s="71">
        <f>Z224/Q224</f>
        <v>7.340217694669271E-2</v>
      </c>
      <c r="M224" s="71">
        <f>(Y224+AB224)/Q224</f>
        <v>5.9447390454926037E-2</v>
      </c>
      <c r="N224" s="57">
        <f>(E224*0.7635+F224*0.7562+G224*0.75+H224*0.7248+I224*0.7021+J224*0.6285+1-K224*0.5884+1-L224*0.5276+M224*0.3663)/6.931</f>
        <v>0.47807566858167522</v>
      </c>
      <c r="O224" s="64">
        <f>N224/0.4663*100</f>
        <v>102.52534175030566</v>
      </c>
      <c r="P224" s="155">
        <f>(O224-100)/100*Q224*0.3389</f>
        <v>61.329373952337555</v>
      </c>
      <c r="Q224" s="54">
        <v>7166</v>
      </c>
      <c r="R224" s="21">
        <f>Q224-Y224-AB224-AC224-AD224</f>
        <v>6397</v>
      </c>
      <c r="S224" s="19" t="s">
        <v>19</v>
      </c>
      <c r="T224" s="19">
        <v>1690</v>
      </c>
      <c r="U224" s="19">
        <v>263</v>
      </c>
      <c r="V224" s="19">
        <v>114</v>
      </c>
      <c r="W224" s="19">
        <v>31</v>
      </c>
      <c r="X224" s="19">
        <v>785</v>
      </c>
      <c r="Y224" s="54">
        <v>416</v>
      </c>
      <c r="Z224" s="19">
        <v>526</v>
      </c>
      <c r="AA224" s="54">
        <f>T224+U224+V224*2+W224*3</f>
        <v>2274</v>
      </c>
      <c r="AB224" s="19">
        <v>10</v>
      </c>
      <c r="AC224" s="19">
        <v>285</v>
      </c>
      <c r="AD224" s="21">
        <v>58</v>
      </c>
      <c r="AE224" s="9"/>
      <c r="AF224" s="37"/>
      <c r="AG224" s="37"/>
      <c r="AH224" s="37"/>
      <c r="AI224" s="37"/>
      <c r="AJ224" s="37"/>
      <c r="AK224" s="38"/>
      <c r="AL224" s="37"/>
      <c r="AM224" s="38"/>
    </row>
    <row r="225" spans="1:67" x14ac:dyDescent="0.2">
      <c r="A225" s="9"/>
      <c r="B225" s="3">
        <v>1955</v>
      </c>
      <c r="C225" s="106" t="s">
        <v>217</v>
      </c>
      <c r="D225" s="98">
        <v>0.86499999999999999</v>
      </c>
      <c r="E225" s="99">
        <f>(T225-W225)/(R225-W225-Z225+AD225)</f>
        <v>0.2830889670271346</v>
      </c>
      <c r="F225" s="99">
        <f>AA225/Q225</f>
        <v>0.34836571942042011</v>
      </c>
      <c r="G225" s="99">
        <f>(U225+V225+W225)/T225</f>
        <v>0.24927600801960348</v>
      </c>
      <c r="H225" s="99">
        <f>(AA225+S225)/Q225</f>
        <v>0.46383241603953723</v>
      </c>
      <c r="I225" s="99">
        <f>(AA225/R225)+((T225+Y225+AB225)/(R225+Y225+AB225+AD225))</f>
        <v>0.70414480759941589</v>
      </c>
      <c r="J225" s="99">
        <f>W225/AA225</f>
        <v>3.5789134289859748E-2</v>
      </c>
      <c r="K225" s="99">
        <f>(AC225+AD225)/AA225</f>
        <v>6.8192809930678708E-2</v>
      </c>
      <c r="L225" s="99">
        <f>Z225/Q225</f>
        <v>6.026058631921824E-2</v>
      </c>
      <c r="M225" s="99">
        <f>(Y225+AB225)/Q225</f>
        <v>6.4697293047287427E-2</v>
      </c>
      <c r="N225" s="100">
        <f>(1-E225*0.7635+1-F225*0.7562+1-G225*0.75+1-H225*0.7248+1-I225*0.7021+1-J225*0.6285+K225*0.5884+L225*0.5276+1-M225*0.3663)/11.068</f>
        <v>0.49951487634931202</v>
      </c>
      <c r="O225" s="105">
        <f>N225/0.497*100</f>
        <v>100.50601133788975</v>
      </c>
      <c r="P225" s="102">
        <f>(O225-100)/100*Q225*0.6611</f>
        <v>59.565360440974843</v>
      </c>
      <c r="Q225" s="54">
        <v>17806</v>
      </c>
      <c r="R225" s="21">
        <f>Q225-Y225-AB225-AC225-AD225</f>
        <v>16231</v>
      </c>
      <c r="S225" s="19">
        <v>2056</v>
      </c>
      <c r="T225" s="19">
        <v>4489</v>
      </c>
      <c r="U225" s="19">
        <v>746</v>
      </c>
      <c r="V225" s="19">
        <v>151</v>
      </c>
      <c r="W225" s="19">
        <v>222</v>
      </c>
      <c r="X225" s="20" t="s">
        <v>19</v>
      </c>
      <c r="Y225" s="54">
        <v>1121</v>
      </c>
      <c r="Z225" s="19">
        <v>1073</v>
      </c>
      <c r="AA225" s="54">
        <f>T225+U225+V225*2+W225*3</f>
        <v>6203</v>
      </c>
      <c r="AB225" s="19">
        <v>31</v>
      </c>
      <c r="AC225" s="19">
        <v>286</v>
      </c>
      <c r="AD225" s="21">
        <v>137</v>
      </c>
      <c r="AE225" s="9"/>
      <c r="AF225" s="37"/>
      <c r="AG225" s="37"/>
      <c r="AH225" s="37"/>
      <c r="AI225" s="37"/>
      <c r="AJ225" s="37"/>
      <c r="AK225" s="38"/>
      <c r="AL225" s="37"/>
      <c r="AM225" s="38"/>
    </row>
    <row r="226" spans="1:67" x14ac:dyDescent="0.2">
      <c r="A226" s="9"/>
      <c r="B226" s="3">
        <v>1996</v>
      </c>
      <c r="C226" s="106" t="s">
        <v>99</v>
      </c>
      <c r="D226" s="98" t="s">
        <v>19</v>
      </c>
      <c r="E226" s="99">
        <f>(T226-W226)/(R226-W226-Z226+AD226)</f>
        <v>0.27696344553022079</v>
      </c>
      <c r="F226" s="99">
        <f>AA226/Q226</f>
        <v>0.33903298110790908</v>
      </c>
      <c r="G226" s="99">
        <f>(U226+V226+W226)/T226</f>
        <v>0.29769880570929219</v>
      </c>
      <c r="H226" s="99">
        <f>(AA226+S226)/Q226</f>
        <v>0.43682356708293307</v>
      </c>
      <c r="I226" s="99">
        <f>(AA226/R226)+((T226+Y226+AB226)/(R226+Y226+AB226+AD226))</f>
        <v>0.6703102623774253</v>
      </c>
      <c r="J226" s="99">
        <f>W226/AA226</f>
        <v>7.0268228182848502E-2</v>
      </c>
      <c r="K226" s="99">
        <f>(AC226+AD226)/AA226</f>
        <v>4.8167737060823571E-2</v>
      </c>
      <c r="L226" s="99">
        <f>Z226/Q226</f>
        <v>0.18283701569004163</v>
      </c>
      <c r="M226" s="99">
        <f>(Y226+AB226)/Q226</f>
        <v>7.428754402817804E-2</v>
      </c>
      <c r="N226" s="100">
        <f>(1-E226*0.7635+1-F226*0.7562+1-G226*0.75+1-H226*0.7248+1-I226*0.7021+1-J226*0.6285+K226*0.5884+L226*0.5276+1-M226*0.3663)/11.068</f>
        <v>0.50371201710148339</v>
      </c>
      <c r="O226" s="101">
        <f>N226/0.5009*100</f>
        <v>100.56139291305317</v>
      </c>
      <c r="P226" s="102">
        <f>(O226-100)/100*Q226*0.6611</f>
        <v>57.953019880057099</v>
      </c>
      <c r="Q226" s="54">
        <v>15615</v>
      </c>
      <c r="R226" s="54">
        <f>Q226-Y226-AB226-AC226-AD226</f>
        <v>14200</v>
      </c>
      <c r="S226" s="19">
        <v>1527</v>
      </c>
      <c r="T226" s="19">
        <v>3433</v>
      </c>
      <c r="U226" s="19">
        <v>555</v>
      </c>
      <c r="V226" s="19">
        <v>95</v>
      </c>
      <c r="W226" s="19">
        <v>372</v>
      </c>
      <c r="X226" s="19" t="s">
        <v>19</v>
      </c>
      <c r="Y226" s="54">
        <v>1000</v>
      </c>
      <c r="Z226" s="19">
        <v>2855</v>
      </c>
      <c r="AA226" s="54">
        <f>T226+U226+V226*2+W226*3</f>
        <v>5294</v>
      </c>
      <c r="AB226" s="19">
        <v>160</v>
      </c>
      <c r="AC226" s="19">
        <v>176</v>
      </c>
      <c r="AD226" s="19">
        <v>79</v>
      </c>
      <c r="AE226" s="9"/>
      <c r="AF226" s="37"/>
      <c r="AG226" s="37"/>
      <c r="AH226" s="37"/>
      <c r="AI226" s="37"/>
      <c r="AJ226" s="37"/>
      <c r="AK226" s="38"/>
      <c r="AL226" s="37"/>
      <c r="AM226" s="38"/>
    </row>
    <row r="227" spans="1:67" x14ac:dyDescent="0.2">
      <c r="A227" s="9"/>
      <c r="B227" s="3">
        <v>1953</v>
      </c>
      <c r="C227" s="106" t="s">
        <v>227</v>
      </c>
      <c r="D227" s="98" t="s">
        <v>19</v>
      </c>
      <c r="E227" s="99">
        <f>(T227-W227)/(R227-W227-Z227+AD227)</f>
        <v>0.29012139436462858</v>
      </c>
      <c r="F227" s="99">
        <f>AA227/Q227</f>
        <v>0.28720275607091839</v>
      </c>
      <c r="G227" s="99">
        <f>(U227+V227+W227)/T227</f>
        <v>0.20982986767485823</v>
      </c>
      <c r="H227" s="99">
        <f>(AA227+S227)/Q227</f>
        <v>0.38030417611965384</v>
      </c>
      <c r="I227" s="99">
        <f>(AA227/R227)+((T227+Y227+AB227)/(R227+Y227+AB227+AD227))</f>
        <v>0.621058029065364</v>
      </c>
      <c r="J227" s="99">
        <f>W227/AA227</f>
        <v>1.1702750146284377E-2</v>
      </c>
      <c r="K227" s="99">
        <f>(AC227+AD227)/AA227</f>
        <v>0.13253364540667056</v>
      </c>
      <c r="L227" s="99">
        <f>Z227/Q227</f>
        <v>0.14376943114024032</v>
      </c>
      <c r="M227" s="99">
        <f>(Y227+AB227)/Q227</f>
        <v>6.8397613645912111E-2</v>
      </c>
      <c r="N227" s="100">
        <f>(1-E227*0.7635+1-F227*0.7562+1-G227*0.75+1-H227*0.7248+1-I227*0.7021+1-J227*0.6285+K227*0.5884+L227*0.5276+1-M227*0.3663)/11.068</f>
        <v>0.5252687211717344</v>
      </c>
      <c r="O227" s="105">
        <f>N227/0.5218*100</f>
        <v>100.664760669171</v>
      </c>
      <c r="P227" s="102">
        <f>(O227-100)/100*Q227*0.6611</f>
        <v>52.301714861068895</v>
      </c>
      <c r="Q227" s="54">
        <v>11901</v>
      </c>
      <c r="R227" s="21">
        <f>Q227-Y227-AB227-AC227-AD227</f>
        <v>10634</v>
      </c>
      <c r="S227" s="19">
        <v>1108</v>
      </c>
      <c r="T227" s="19">
        <v>2645</v>
      </c>
      <c r="U227" s="21">
        <v>377</v>
      </c>
      <c r="V227" s="21">
        <v>138</v>
      </c>
      <c r="W227" s="19">
        <v>40</v>
      </c>
      <c r="X227" s="19" t="s">
        <v>19</v>
      </c>
      <c r="Y227" s="54">
        <v>712</v>
      </c>
      <c r="Z227" s="19">
        <v>1711</v>
      </c>
      <c r="AA227" s="21">
        <f>T227+U227+V227*2+W227*3</f>
        <v>3418</v>
      </c>
      <c r="AB227" s="19">
        <v>102</v>
      </c>
      <c r="AC227" s="21">
        <v>357</v>
      </c>
      <c r="AD227" s="21">
        <v>96</v>
      </c>
      <c r="AE227" s="9"/>
      <c r="AF227" s="37"/>
      <c r="AG227" s="37"/>
      <c r="AH227" s="37"/>
      <c r="AI227" s="37"/>
      <c r="AJ227" s="37"/>
      <c r="AK227" s="38"/>
      <c r="AL227" s="37"/>
      <c r="AM227" s="38"/>
    </row>
    <row r="228" spans="1:67" x14ac:dyDescent="0.2">
      <c r="A228" s="9"/>
      <c r="B228" s="3">
        <v>2004</v>
      </c>
      <c r="C228" s="106" t="s">
        <v>75</v>
      </c>
      <c r="D228" s="98">
        <v>0.83199999999999996</v>
      </c>
      <c r="E228" s="99">
        <f>(T228-W228)/(R228-W228-Z228+AD228)</f>
        <v>0.27666261151662613</v>
      </c>
      <c r="F228" s="99">
        <f>AA228/Q228</f>
        <v>0.35687897147923747</v>
      </c>
      <c r="G228" s="99">
        <f>(U228+V228+W228)/T228</f>
        <v>0.32152145643693109</v>
      </c>
      <c r="H228" s="99">
        <f>(AA228+S228)/Q228</f>
        <v>0.45899216787350378</v>
      </c>
      <c r="I228" s="99">
        <f>(AA228/R228)+((T228+Y228+AB228)/(R228+Y228+AB228+AD228))</f>
        <v>0.67549698982685991</v>
      </c>
      <c r="J228" s="99">
        <f>W228/AA228</f>
        <v>7.1842650103519673E-2</v>
      </c>
      <c r="K228" s="99">
        <f>(AC228+AD228)/AA228</f>
        <v>4.1821946169772257E-2</v>
      </c>
      <c r="L228" s="99">
        <f>Z228/Q228</f>
        <v>0.17740505393822964</v>
      </c>
      <c r="M228" s="99">
        <f>(Y228+AB228)/Q228</f>
        <v>6.0070932466380969E-2</v>
      </c>
      <c r="N228" s="100">
        <f>(1-E228*0.7635+1-F228*0.7562+1-G228*0.75+1-H228*0.7248+1-I228*0.7021+1-J228*0.6285+K228*0.5884+L228*0.5276+1-M228*0.3663)/11.068</f>
        <v>0.49890323609922399</v>
      </c>
      <c r="O228" s="105">
        <f>N228/0.4961*100</f>
        <v>100.56505464608425</v>
      </c>
      <c r="P228" s="102">
        <f>(O228-100)/100*Q228*0.6611</f>
        <v>50.557289174069055</v>
      </c>
      <c r="Q228" s="54">
        <v>13534</v>
      </c>
      <c r="R228" s="54">
        <f>Q228-Y228-AB228-AC228-AD228</f>
        <v>12519</v>
      </c>
      <c r="S228" s="19">
        <v>1382</v>
      </c>
      <c r="T228" s="19">
        <v>3076</v>
      </c>
      <c r="U228" s="19">
        <v>571</v>
      </c>
      <c r="V228" s="19">
        <v>71</v>
      </c>
      <c r="W228" s="19">
        <v>347</v>
      </c>
      <c r="X228" s="19" t="s">
        <v>19</v>
      </c>
      <c r="Y228" s="54">
        <v>738</v>
      </c>
      <c r="Z228" s="19">
        <v>2401</v>
      </c>
      <c r="AA228" s="54">
        <f>T228+U228+V228*2+W228*3</f>
        <v>4830</v>
      </c>
      <c r="AB228" s="19">
        <v>75</v>
      </c>
      <c r="AC228" s="19">
        <v>109</v>
      </c>
      <c r="AD228" s="19">
        <v>93</v>
      </c>
      <c r="AE228" s="9"/>
      <c r="AF228" s="37"/>
      <c r="AG228" s="37"/>
      <c r="AH228" s="37"/>
      <c r="AI228" s="37"/>
      <c r="AJ228" s="37"/>
      <c r="AK228" s="38"/>
      <c r="AL228" s="37"/>
      <c r="AM228" s="38"/>
      <c r="BC228" s="141"/>
      <c r="BD228" s="143"/>
      <c r="BE228" s="143"/>
      <c r="BF228" s="143"/>
      <c r="BG228" s="143"/>
      <c r="BH228" s="143"/>
      <c r="BI228" s="143"/>
    </row>
    <row r="229" spans="1:67" x14ac:dyDescent="0.2">
      <c r="A229" s="9"/>
      <c r="B229" s="3">
        <v>2018</v>
      </c>
      <c r="C229" s="106" t="s">
        <v>33</v>
      </c>
      <c r="D229" s="98" t="s">
        <v>19</v>
      </c>
      <c r="E229" s="99">
        <f>(T229-W229)/(R229-W229-Z229+AD229)</f>
        <v>0.27180978446801229</v>
      </c>
      <c r="F229" s="99">
        <f>AA229/Q229</f>
        <v>0.34044665012406949</v>
      </c>
      <c r="G229" s="99">
        <f>(U229+V229+W229)/T229</f>
        <v>0.29492570787776845</v>
      </c>
      <c r="H229" s="99">
        <f>(AA229+S229)/Q229</f>
        <v>0.45303970223325063</v>
      </c>
      <c r="I229" s="99">
        <f>(AA229/R229)+((T229+Y229+AB229)/(R229+Y229+AB229+AD229))</f>
        <v>0.69322428014413817</v>
      </c>
      <c r="J229" s="99">
        <f>W229/AA229</f>
        <v>7.0881924198250734E-2</v>
      </c>
      <c r="K229" s="99">
        <f>(AC229+AD229)/AA229</f>
        <v>4.1362973760932946E-2</v>
      </c>
      <c r="L229" s="99">
        <f>Z229/Q229</f>
        <v>0.15372208436724566</v>
      </c>
      <c r="M229" s="99">
        <f>(Y229+AB229)/Q229</f>
        <v>8.9826302729528532E-2</v>
      </c>
      <c r="N229" s="100">
        <f>(1-E229*0.7635+1-F229*0.7562+1-G229*0.75+1-H229*0.7248+1-I229*0.7021+1-J229*0.6285+K229*0.5884+L229*0.5276+1-M229*0.3663)/11.068</f>
        <v>0.49934462685068048</v>
      </c>
      <c r="O229" s="105">
        <f>N229/0.4971*100</f>
        <v>100.45154432723406</v>
      </c>
      <c r="P229" s="102">
        <f>(O229-100)/100*Q229*0.6611</f>
        <v>48.120771903191304</v>
      </c>
      <c r="Q229" s="54">
        <v>16120</v>
      </c>
      <c r="R229" s="54">
        <f>Q229-Y229-AB229-AC229-AD229</f>
        <v>14445</v>
      </c>
      <c r="S229" s="19">
        <v>1815</v>
      </c>
      <c r="T229" s="19">
        <v>3567</v>
      </c>
      <c r="U229" s="19">
        <v>572</v>
      </c>
      <c r="V229" s="19">
        <v>91</v>
      </c>
      <c r="W229" s="19">
        <v>389</v>
      </c>
      <c r="X229" s="19" t="s">
        <v>19</v>
      </c>
      <c r="Y229" s="54">
        <v>1390</v>
      </c>
      <c r="Z229" s="19">
        <v>2478</v>
      </c>
      <c r="AA229" s="54">
        <f>T229+U229+V229*2+W229*3</f>
        <v>5488</v>
      </c>
      <c r="AB229" s="19">
        <v>58</v>
      </c>
      <c r="AC229" s="19">
        <v>113</v>
      </c>
      <c r="AD229" s="19">
        <v>114</v>
      </c>
      <c r="AE229" s="9"/>
      <c r="AF229" s="37"/>
      <c r="AG229" s="37"/>
      <c r="AH229" s="37"/>
      <c r="AI229" s="37"/>
      <c r="AJ229" s="37"/>
      <c r="AK229" s="38"/>
      <c r="AL229" s="37"/>
      <c r="AM229" s="38"/>
      <c r="BJ229" s="143"/>
      <c r="BK229" s="143"/>
      <c r="BL229" s="143"/>
      <c r="BM229" s="143"/>
      <c r="BN229" s="142"/>
      <c r="BO229" s="169"/>
    </row>
    <row r="230" spans="1:67" x14ac:dyDescent="0.2">
      <c r="A230" s="9"/>
      <c r="B230" s="3">
        <v>1939</v>
      </c>
      <c r="C230" s="106" t="s">
        <v>267</v>
      </c>
      <c r="D230" s="98" t="s">
        <v>19</v>
      </c>
      <c r="E230" s="99">
        <f>(T230-W230)/(R230-W230-Z230+AD230)</f>
        <v>0.27011420505581935</v>
      </c>
      <c r="F230" s="99">
        <f>AA230/Q230</f>
        <v>0.31166085209853051</v>
      </c>
      <c r="G230" s="99">
        <f>(U230+V230+W230)/T230</f>
        <v>0.24514787430683918</v>
      </c>
      <c r="H230" s="99">
        <f>(AA230+S230)/Q230</f>
        <v>0.43181097367586424</v>
      </c>
      <c r="I230" s="99">
        <f>(AA230/R230)+((T230+Y230+AB230)/(R230+Y230+AB230+AD230))</f>
        <v>0.62638387195798895</v>
      </c>
      <c r="J230" s="99">
        <f>W230/AA230</f>
        <v>2.0013568521031207E-2</v>
      </c>
      <c r="K230" s="99">
        <f>(AC230+AD230)/AA230</f>
        <v>9.1417910447761194E-2</v>
      </c>
      <c r="L230" s="99">
        <f>Z230/Q230</f>
        <v>9.6733269901680935E-2</v>
      </c>
      <c r="M230" s="99">
        <f>(Y230+AB230)/Q230</f>
        <v>5.2542552066814671E-2</v>
      </c>
      <c r="N230" s="100">
        <f>(1-E230*0.7635+1-F230*0.7562+1-G230*0.75+1-H230*0.7248+1-I230*0.7021+1-J230*0.6285+K230*0.5884+L230*0.5276+1-M230*0.3663)/11.068</f>
        <v>0.51449856877492961</v>
      </c>
      <c r="O230" s="101">
        <f>N230/0.5126*100</f>
        <v>100.37038017458634</v>
      </c>
      <c r="P230" s="102">
        <f>(O230-100)/100*Q230*0.6611</f>
        <v>46.322299516212532</v>
      </c>
      <c r="Q230" s="54">
        <v>18918</v>
      </c>
      <c r="R230" s="21">
        <f>Q230-Y230-AB230-AC230-AD230</f>
        <v>17385</v>
      </c>
      <c r="S230" s="19">
        <v>2273</v>
      </c>
      <c r="T230" s="19">
        <v>4328</v>
      </c>
      <c r="U230" s="21">
        <v>672</v>
      </c>
      <c r="V230" s="21">
        <v>271</v>
      </c>
      <c r="W230" s="19">
        <v>118</v>
      </c>
      <c r="X230" s="19" t="s">
        <v>19</v>
      </c>
      <c r="Y230" s="54">
        <v>875</v>
      </c>
      <c r="Z230" s="19">
        <v>1830</v>
      </c>
      <c r="AA230" s="21">
        <f>T230+U230+V230*2+W230*3</f>
        <v>5896</v>
      </c>
      <c r="AB230" s="21">
        <v>119</v>
      </c>
      <c r="AC230" s="21">
        <v>390</v>
      </c>
      <c r="AD230" s="21">
        <v>149</v>
      </c>
      <c r="AE230" s="9"/>
      <c r="AF230" s="37"/>
      <c r="AG230" s="37"/>
      <c r="AH230" s="37"/>
      <c r="AI230" s="37"/>
      <c r="AJ230" s="37"/>
      <c r="AK230" s="38"/>
      <c r="AL230" s="37"/>
      <c r="AM230" s="38"/>
    </row>
    <row r="231" spans="1:67" x14ac:dyDescent="0.2">
      <c r="A231" s="9"/>
      <c r="B231" s="3">
        <v>1977</v>
      </c>
      <c r="C231" s="51" t="s">
        <v>150</v>
      </c>
      <c r="D231" s="26" t="s">
        <v>19</v>
      </c>
      <c r="E231" s="71">
        <f>(T231-W231)/(R231-W231-Z231+AD231)</f>
        <v>0.3769597818677573</v>
      </c>
      <c r="F231" s="71">
        <f>AA231/Q231</f>
        <v>0.41466083150984684</v>
      </c>
      <c r="G231" s="71">
        <f>(U231+V231+W231)/T231</f>
        <v>0.22847100175746923</v>
      </c>
      <c r="H231" s="71">
        <f>(AA231+X231)/Q231</f>
        <v>0.58315098468271331</v>
      </c>
      <c r="I231" s="71">
        <f>(AA231/R231)+((T231+Y231+AB231)/(R231+Y231+AB231+AD231))</f>
        <v>0.87115571427573046</v>
      </c>
      <c r="J231" s="71">
        <f>W231/AA231</f>
        <v>2.1108179419525065E-2</v>
      </c>
      <c r="K231" s="71">
        <f>(AC231+AD231)/AA231</f>
        <v>9.2348284960422161E-2</v>
      </c>
      <c r="L231" s="71">
        <f>Z231/Q231</f>
        <v>7.9868708971553612E-2</v>
      </c>
      <c r="M231" s="71">
        <f>(Y231+AB231)/Q231</f>
        <v>7.822757111597374E-2</v>
      </c>
      <c r="N231" s="57">
        <f>(E231*0.7635+F231*0.7562+G231*0.75+H231*0.7248+I231*0.7021+J231*0.6285+1-K231*0.5884+1-L231*0.5276+M231*0.3663)/6.931</f>
        <v>0.54140522501713328</v>
      </c>
      <c r="O231" s="64">
        <f>N231/0.5046*100</f>
        <v>107.29394074854008</v>
      </c>
      <c r="P231" s="155">
        <f>(O231-100)/100*Q231*0.3389</f>
        <v>45.186633979754653</v>
      </c>
      <c r="Q231" s="54">
        <v>1828</v>
      </c>
      <c r="R231" s="21">
        <f>Q231-Y231-AB231-AC231-AD231</f>
        <v>1615</v>
      </c>
      <c r="S231" s="19" t="s">
        <v>19</v>
      </c>
      <c r="T231" s="19">
        <v>569</v>
      </c>
      <c r="U231" s="19">
        <v>87</v>
      </c>
      <c r="V231" s="19">
        <v>27</v>
      </c>
      <c r="W231" s="19">
        <v>16</v>
      </c>
      <c r="X231" s="19">
        <v>308</v>
      </c>
      <c r="Y231" s="54">
        <v>133</v>
      </c>
      <c r="Z231" s="21">
        <v>146</v>
      </c>
      <c r="AA231" s="54">
        <f>T231+U231+V231*2+W231*3</f>
        <v>758</v>
      </c>
      <c r="AB231" s="21">
        <v>10</v>
      </c>
      <c r="AC231" s="21">
        <v>56</v>
      </c>
      <c r="AD231" s="21">
        <v>14</v>
      </c>
      <c r="AE231" s="9"/>
      <c r="AF231" s="37"/>
      <c r="AG231" s="37"/>
      <c r="AH231" s="37"/>
      <c r="AI231" s="37"/>
      <c r="AJ231" s="37"/>
      <c r="AK231" s="38"/>
      <c r="AL231" s="37"/>
      <c r="AM231" s="38"/>
    </row>
    <row r="232" spans="1:67" x14ac:dyDescent="0.2">
      <c r="A232" s="9"/>
      <c r="B232" s="3">
        <v>1946</v>
      </c>
      <c r="C232" s="51" t="s">
        <v>245</v>
      </c>
      <c r="D232" s="26" t="s">
        <v>19</v>
      </c>
      <c r="E232" s="72">
        <f>(T232-W232)/(R232-W232-Z232+AD232)</f>
        <v>0.3033284488172493</v>
      </c>
      <c r="F232" s="72">
        <f>AA232/Q232</f>
        <v>0.33490155079282102</v>
      </c>
      <c r="G232" s="72">
        <f>(U232+V232+W232)/T232</f>
        <v>0.19290020093770932</v>
      </c>
      <c r="H232" s="72">
        <f>(AA232+X232)/Q232</f>
        <v>0.46244990416448861</v>
      </c>
      <c r="I232" s="72">
        <f>(AA232/R232)+((T232+Y232+AB232)/(R232+Y232+AB232+AD232))</f>
        <v>0.75988647743259241</v>
      </c>
      <c r="J232" s="72">
        <f>W232/AA232</f>
        <v>2.2892819979188347E-2</v>
      </c>
      <c r="K232" s="72">
        <f>(AC232+AD232)/AA232</f>
        <v>9.9375650364203955E-2</v>
      </c>
      <c r="L232" s="72">
        <f>Z232/Q232</f>
        <v>3.2235581111691933E-2</v>
      </c>
      <c r="M232" s="72">
        <f>(Y232+AB232)/Q232</f>
        <v>0.10280536678863914</v>
      </c>
      <c r="N232" s="58">
        <f>(E232*0.7635+F232*0.7562+G232*0.75+H232*0.7248+I232*0.7021+J232*0.6285+1-K232*0.5884+1-L232*0.5276+M232*0.3663)/6.931</f>
        <v>0.50133957269822538</v>
      </c>
      <c r="O232" s="65">
        <f>N232/0.49*100</f>
        <v>102.31419850984192</v>
      </c>
      <c r="P232" s="155">
        <f>(O232-100)/100*Q232*0.3389</f>
        <v>45.009936805413552</v>
      </c>
      <c r="Q232" s="54">
        <v>5739</v>
      </c>
      <c r="R232" s="21">
        <f>Q232-Y232-AB232-AC232-AD232</f>
        <v>4958</v>
      </c>
      <c r="S232" s="19" t="s">
        <v>19</v>
      </c>
      <c r="T232" s="19">
        <v>1493</v>
      </c>
      <c r="U232" s="19">
        <v>191</v>
      </c>
      <c r="V232" s="19">
        <v>53</v>
      </c>
      <c r="W232" s="19">
        <v>44</v>
      </c>
      <c r="X232" s="19">
        <v>732</v>
      </c>
      <c r="Y232" s="54">
        <v>536</v>
      </c>
      <c r="Z232" s="19">
        <v>185</v>
      </c>
      <c r="AA232" s="54">
        <f>T232+U232+V232*2+W232*3</f>
        <v>1922</v>
      </c>
      <c r="AB232" s="21">
        <v>54</v>
      </c>
      <c r="AC232" s="21">
        <v>143</v>
      </c>
      <c r="AD232" s="21">
        <v>48</v>
      </c>
      <c r="AE232" s="9"/>
      <c r="AF232" s="37"/>
      <c r="AG232" s="37"/>
      <c r="AH232" s="37"/>
      <c r="AI232" s="37"/>
      <c r="AJ232" s="37"/>
      <c r="AK232" s="38"/>
      <c r="AL232" s="37"/>
      <c r="AM232" s="38"/>
    </row>
    <row r="233" spans="1:67" x14ac:dyDescent="0.2">
      <c r="A233" s="9"/>
      <c r="B233" s="3">
        <v>1975</v>
      </c>
      <c r="C233" s="51" t="s">
        <v>160</v>
      </c>
      <c r="D233" s="26" t="s">
        <v>19</v>
      </c>
      <c r="E233" s="71">
        <f>(T233-W233)/(R233-W233-Z233+AD233)</f>
        <v>0.3262588431127757</v>
      </c>
      <c r="F233" s="71">
        <f>AA233/Q233</f>
        <v>0.38036809815950923</v>
      </c>
      <c r="G233" s="71">
        <f>(U233+V233+W233)/T233</f>
        <v>0.26823238566131025</v>
      </c>
      <c r="H233" s="71">
        <f>(AA233+X233)/Q233</f>
        <v>0.53612815269256986</v>
      </c>
      <c r="I233" s="71">
        <f>(AA233/R233)+((T233+Y233+AB233)/(R233+Y233+AB233+AD233))</f>
        <v>0.77311269669363569</v>
      </c>
      <c r="J233" s="71">
        <f>W233/AA233</f>
        <v>2.2401433691756272E-2</v>
      </c>
      <c r="K233" s="71">
        <f>(AC233+AD233)/AA233</f>
        <v>9.2293906810035839E-2</v>
      </c>
      <c r="L233" s="71">
        <f>Z233/Q233</f>
        <v>8.0095432856169047E-2</v>
      </c>
      <c r="M233" s="71">
        <f>(Y233+AB233)/Q233</f>
        <v>6.50988411724608E-2</v>
      </c>
      <c r="N233" s="57">
        <f>(E233*0.7635+F233*0.7562+G233*0.75+H233*0.7248+I233*0.7021+J233*0.6285+1-K233*0.5884+1-L233*0.5276+M233*0.3663)/6.931</f>
        <v>0.52094305333512991</v>
      </c>
      <c r="O233" s="64">
        <f>N233/0.5071*100</f>
        <v>102.72984684187141</v>
      </c>
      <c r="P233" s="155">
        <f>(O233-100)/100*Q233*0.3389</f>
        <v>27.143757078797844</v>
      </c>
      <c r="Q233" s="54">
        <v>2934</v>
      </c>
      <c r="R233" s="21">
        <f>Q233-Y233-AB233-AC233-AD233</f>
        <v>2640</v>
      </c>
      <c r="S233" s="20" t="s">
        <v>19</v>
      </c>
      <c r="T233" s="19">
        <v>809</v>
      </c>
      <c r="U233" s="19">
        <v>152</v>
      </c>
      <c r="V233" s="19">
        <v>40</v>
      </c>
      <c r="W233" s="19">
        <v>25</v>
      </c>
      <c r="X233" s="19">
        <v>457</v>
      </c>
      <c r="Y233" s="54">
        <v>185</v>
      </c>
      <c r="Z233" s="21">
        <v>235</v>
      </c>
      <c r="AA233" s="54">
        <f>T233+U233+V233*2+W233*3</f>
        <v>1116</v>
      </c>
      <c r="AB233" s="19">
        <v>6</v>
      </c>
      <c r="AC233" s="19">
        <v>80</v>
      </c>
      <c r="AD233" s="21">
        <v>23</v>
      </c>
      <c r="AE233" s="9"/>
      <c r="AF233" s="37"/>
      <c r="AG233" s="37"/>
      <c r="AH233" s="37"/>
      <c r="AI233" s="37"/>
      <c r="AJ233" s="37"/>
      <c r="AK233" s="38"/>
      <c r="AL233" s="37"/>
      <c r="AM233" s="38"/>
    </row>
    <row r="234" spans="1:67" x14ac:dyDescent="0.2">
      <c r="A234" s="9"/>
      <c r="B234" s="3">
        <v>1946</v>
      </c>
      <c r="C234" s="106" t="s">
        <v>243</v>
      </c>
      <c r="D234" s="98" t="s">
        <v>19</v>
      </c>
      <c r="E234" s="99">
        <f>(T234-W234)/(R234-W234-Z234+AD234)</f>
        <v>0.28267938434858009</v>
      </c>
      <c r="F234" s="99">
        <f>AA234/Q234</f>
        <v>0.29384456671251719</v>
      </c>
      <c r="G234" s="99">
        <f>(U234+V234+W234)/T234</f>
        <v>0.20702682281828486</v>
      </c>
      <c r="H234" s="99">
        <f>(AA234+S234)/Q234</f>
        <v>0.39752407152682256</v>
      </c>
      <c r="I234" s="99">
        <f>(AA234/R234)+((T234+Y234+AB234)/(R234+Y234+AB234+AD234))</f>
        <v>0.63197222759997462</v>
      </c>
      <c r="J234" s="99">
        <f>W234/AA234</f>
        <v>1.1410181392627268E-2</v>
      </c>
      <c r="K234" s="99">
        <f>(AC234+AD234)/AA234</f>
        <v>0.11527208894090112</v>
      </c>
      <c r="L234" s="99">
        <f>Z234/Q234</f>
        <v>0.10875171939477304</v>
      </c>
      <c r="M234" s="99">
        <f>(Y234+AB234)/Q234</f>
        <v>6.9033700137551585E-2</v>
      </c>
      <c r="N234" s="100">
        <f>(1-E234*0.7635+1-F234*0.7562+1-G234*0.75+1-H234*0.7248+1-I234*0.7021+1-J234*0.6285+K234*0.5884+L234*0.5276+1-M234*0.3663)/11.068</f>
        <v>0.5211068778882737</v>
      </c>
      <c r="O234" s="101">
        <f>N234/0.5194*100</f>
        <v>100.32862493035691</v>
      </c>
      <c r="P234" s="102">
        <f>(O234-100)/100*Q234*0.6611</f>
        <v>25.270978470505383</v>
      </c>
      <c r="Q234" s="54">
        <v>11632</v>
      </c>
      <c r="R234" s="21">
        <f>Q234-Y234-AB234-AC234-AD234</f>
        <v>10435</v>
      </c>
      <c r="S234" s="19">
        <v>1206</v>
      </c>
      <c r="T234" s="19">
        <v>2647</v>
      </c>
      <c r="U234" s="21">
        <v>364</v>
      </c>
      <c r="V234" s="21">
        <v>145</v>
      </c>
      <c r="W234" s="19">
        <v>39</v>
      </c>
      <c r="X234" s="19" t="s">
        <v>19</v>
      </c>
      <c r="Y234" s="54">
        <v>690</v>
      </c>
      <c r="Z234" s="19">
        <v>1265</v>
      </c>
      <c r="AA234" s="21">
        <f>T234+U234+V234*2+W234*3</f>
        <v>3418</v>
      </c>
      <c r="AB234" s="19">
        <v>113</v>
      </c>
      <c r="AC234" s="21">
        <v>299</v>
      </c>
      <c r="AD234" s="21">
        <v>95</v>
      </c>
      <c r="AE234" s="9"/>
      <c r="AF234" s="37"/>
      <c r="AG234" s="37"/>
      <c r="AH234" s="37"/>
      <c r="AI234" s="37"/>
      <c r="AJ234" s="37"/>
      <c r="AK234" s="38"/>
      <c r="AL234" s="37"/>
      <c r="AM234" s="38"/>
    </row>
    <row r="235" spans="1:67" x14ac:dyDescent="0.2">
      <c r="A235" s="9"/>
      <c r="B235" s="3">
        <v>1999</v>
      </c>
      <c r="C235" s="106" t="s">
        <v>91</v>
      </c>
      <c r="D235" s="98" t="s">
        <v>19</v>
      </c>
      <c r="E235" s="103">
        <f>(T235-W235)/(R235-W235-Z235+AD235)</f>
        <v>0.31725888324873097</v>
      </c>
      <c r="F235" s="103">
        <f>AA235/Q235</f>
        <v>0.33884844473858372</v>
      </c>
      <c r="G235" s="103">
        <f>(U235+V235+W235)/T235</f>
        <v>0.23958333333333334</v>
      </c>
      <c r="H235" s="103">
        <f>(AA235+S235)/Q235</f>
        <v>0.46790205162144277</v>
      </c>
      <c r="I235" s="103">
        <f>(AA235/R235)+((T235+Y235+AB235)/(R235+Y235+AB235+AD235))</f>
        <v>0.68396080453842178</v>
      </c>
      <c r="J235" s="103">
        <f>W235/AA235</f>
        <v>1.7578125E-2</v>
      </c>
      <c r="K235" s="103">
        <f>(AC235+AD235)/AA235</f>
        <v>9.375E-2</v>
      </c>
      <c r="L235" s="103">
        <f>Z235/Q235</f>
        <v>0.13302448709463932</v>
      </c>
      <c r="M235" s="103">
        <f>(Y235+AB235)/Q235</f>
        <v>5.1621442753143613E-2</v>
      </c>
      <c r="N235" s="104">
        <f>(1-E235*0.7635+1-F235*0.7562+1-G235*0.75+1-H235*0.7248+1-I235*0.7021+1-J235*0.6285+K235*0.5884+L235*0.5276+1-M235*0.3663)/11.068</f>
        <v>0.50577279492182725</v>
      </c>
      <c r="O235" s="105">
        <f>N235/0.4957*100</f>
        <v>102.03203448090122</v>
      </c>
      <c r="P235" s="102">
        <f>(O235-100)/100*Q235*0.6611</f>
        <v>20.298441509342535</v>
      </c>
      <c r="Q235" s="54">
        <v>1511</v>
      </c>
      <c r="R235" s="21">
        <f>Q235-Y235-AB235-AC235-AD235</f>
        <v>1385</v>
      </c>
      <c r="S235" s="19">
        <v>195</v>
      </c>
      <c r="T235" s="19">
        <v>384</v>
      </c>
      <c r="U235" s="21">
        <v>65</v>
      </c>
      <c r="V235" s="21">
        <v>18</v>
      </c>
      <c r="W235" s="19">
        <v>9</v>
      </c>
      <c r="X235" s="19" t="s">
        <v>19</v>
      </c>
      <c r="Y235" s="54">
        <v>66</v>
      </c>
      <c r="Z235" s="19">
        <v>201</v>
      </c>
      <c r="AA235" s="21">
        <f>T235+U235+V235*2+W235*3</f>
        <v>512</v>
      </c>
      <c r="AB235" s="21">
        <v>12</v>
      </c>
      <c r="AC235" s="21">
        <v>41</v>
      </c>
      <c r="AD235" s="21">
        <v>7</v>
      </c>
      <c r="AE235" s="9"/>
      <c r="AF235" s="37"/>
      <c r="AG235" s="37"/>
      <c r="AH235" s="37"/>
      <c r="AI235" s="37"/>
      <c r="AJ235" s="37"/>
      <c r="AK235" s="38"/>
      <c r="AL235" s="37"/>
      <c r="AM235" s="38"/>
    </row>
    <row r="236" spans="1:67" x14ac:dyDescent="0.2">
      <c r="A236" s="9"/>
      <c r="B236" s="3">
        <v>1987</v>
      </c>
      <c r="C236" s="51" t="s">
        <v>120</v>
      </c>
      <c r="D236" s="26" t="s">
        <v>19</v>
      </c>
      <c r="E236" s="157">
        <f>(T236-W236)/(R236-W236-Z236+AD236)</f>
        <v>0.34772182254196643</v>
      </c>
      <c r="F236" s="157">
        <f>AA236/Q236</f>
        <v>0.40221774193548387</v>
      </c>
      <c r="G236" s="157">
        <f>(U236+V236+W236)/T236</f>
        <v>0.26530612244897961</v>
      </c>
      <c r="H236" s="157">
        <f>(AA236+X236)/Q236</f>
        <v>0.55141129032258063</v>
      </c>
      <c r="I236" s="157">
        <f>(AA236/R236)+((T236+Y236+AB236)/(R236+Y236+AB236+AD236))</f>
        <v>0.80192957946101351</v>
      </c>
      <c r="J236" s="157">
        <f>W236/AA236</f>
        <v>1.0025062656641603E-2</v>
      </c>
      <c r="K236" s="157">
        <f>(AC236+AD236)/AA236</f>
        <v>5.5137844611528819E-2</v>
      </c>
      <c r="L236" s="157">
        <f>Z236/Q236</f>
        <v>7.9637096774193547E-2</v>
      </c>
      <c r="M236" s="157">
        <f>(Y236+AB236)/Q236</f>
        <v>6.1491935483870969E-2</v>
      </c>
      <c r="N236" s="158">
        <f>(E236*0.7635+F236*0.7562+G236*0.75+H236*0.7248+I236*0.7021+J236*0.6285+1-K236*0.5884+1-L236*0.5276+M236*0.3663)/6.931</f>
        <v>0.53176821938890151</v>
      </c>
      <c r="O236" s="159">
        <f>N236/0.5026*100</f>
        <v>105.80346585533256</v>
      </c>
      <c r="P236" s="155">
        <f>(O236-100)/100*Q236*0.3389</f>
        <v>19.510602217452274</v>
      </c>
      <c r="Q236" s="54">
        <v>992</v>
      </c>
      <c r="R236" s="21">
        <f>Q236-Y236-AB236-AC236-AD236</f>
        <v>909</v>
      </c>
      <c r="S236" s="20" t="s">
        <v>19</v>
      </c>
      <c r="T236" s="19">
        <v>294</v>
      </c>
      <c r="U236" s="19">
        <v>55</v>
      </c>
      <c r="V236" s="19">
        <v>19</v>
      </c>
      <c r="W236" s="19">
        <v>4</v>
      </c>
      <c r="X236" s="19">
        <v>148</v>
      </c>
      <c r="Y236" s="54">
        <v>60</v>
      </c>
      <c r="Z236" s="21">
        <v>79</v>
      </c>
      <c r="AA236" s="54">
        <f>T236+U236+V236*2+W236*3</f>
        <v>399</v>
      </c>
      <c r="AB236" s="54">
        <v>1</v>
      </c>
      <c r="AC236" s="54">
        <v>14</v>
      </c>
      <c r="AD236" s="21">
        <v>8</v>
      </c>
      <c r="AE236" s="9"/>
      <c r="AF236" s="37"/>
      <c r="AG236" s="37"/>
      <c r="AH236" s="37"/>
      <c r="AI236" s="37"/>
      <c r="AJ236" s="37"/>
      <c r="AK236" s="38"/>
      <c r="AL236" s="37"/>
      <c r="AM236" s="38"/>
    </row>
    <row r="237" spans="1:67" x14ac:dyDescent="0.2">
      <c r="A237" s="9"/>
      <c r="B237" s="3">
        <v>1995</v>
      </c>
      <c r="C237" s="106" t="s">
        <v>103</v>
      </c>
      <c r="D237" s="98" t="s">
        <v>19</v>
      </c>
      <c r="E237" s="99">
        <f>(T237-W237)/(R237-W237-Z237+AD237)</f>
        <v>0.27827788649706459</v>
      </c>
      <c r="F237" s="99">
        <f>AA237/Q237</f>
        <v>0.29061981694207262</v>
      </c>
      <c r="G237" s="99">
        <f>(U237+V237+W237)/T237</f>
        <v>0.21402927368130351</v>
      </c>
      <c r="H237" s="99">
        <f>(AA237+S237)/Q237</f>
        <v>0.39013452914798208</v>
      </c>
      <c r="I237" s="99">
        <f>(AA237/R237)+((T237+Y237+AB237)/(R237+Y237+AB237+AD237))</f>
        <v>0.64404471203959501</v>
      </c>
      <c r="J237" s="99">
        <f>W237/AA237</f>
        <v>1.3950538998097653E-2</v>
      </c>
      <c r="K237" s="99">
        <f>(AC237+AD237)/AA237</f>
        <v>0.11667723525681674</v>
      </c>
      <c r="L237" s="99">
        <f>Z237/Q237</f>
        <v>0.10141900608145464</v>
      </c>
      <c r="M237" s="99">
        <f>(Y237+AB237)/Q237</f>
        <v>8.4034645862767987E-2</v>
      </c>
      <c r="N237" s="100">
        <f>(1-E237*0.7635+1-F237*0.7562+1-G237*0.75+1-H237*0.7248+1-I237*0.7021+1-J237*0.6285+K237*0.5884+L237*0.5276+1-M237*0.3663)/11.068</f>
        <v>0.51995885634905237</v>
      </c>
      <c r="O237" s="101">
        <f>N237/0.5191*100</f>
        <v>100.16545104007943</v>
      </c>
      <c r="P237" s="102">
        <f>(O237-100)/100*Q237*0.6611</f>
        <v>17.805918529886295</v>
      </c>
      <c r="Q237" s="54">
        <v>16279</v>
      </c>
      <c r="R237" s="21">
        <f>Q237-Y237-AB237-AC237-AD237</f>
        <v>14359</v>
      </c>
      <c r="S237" s="19">
        <v>1620</v>
      </c>
      <c r="T237" s="19">
        <v>3621</v>
      </c>
      <c r="U237" s="21">
        <v>506</v>
      </c>
      <c r="V237" s="21">
        <v>203</v>
      </c>
      <c r="W237" s="19">
        <v>66</v>
      </c>
      <c r="X237" s="19" t="s">
        <v>19</v>
      </c>
      <c r="Y237" s="54">
        <v>1212</v>
      </c>
      <c r="Z237" s="19">
        <v>1651</v>
      </c>
      <c r="AA237" s="21">
        <f>T237+U237+V237*2+W237*3</f>
        <v>4731</v>
      </c>
      <c r="AB237" s="19">
        <v>156</v>
      </c>
      <c r="AC237" s="19">
        <v>419</v>
      </c>
      <c r="AD237" s="21">
        <v>133</v>
      </c>
      <c r="AE237" s="9"/>
      <c r="AF237" s="37"/>
      <c r="AG237" s="37"/>
      <c r="AH237" s="37"/>
      <c r="AI237" s="37"/>
      <c r="AJ237" s="37"/>
      <c r="AK237" s="38"/>
      <c r="AL237" s="37"/>
      <c r="AM237" s="38"/>
    </row>
    <row r="238" spans="1:67" x14ac:dyDescent="0.2">
      <c r="A238" s="9"/>
      <c r="B238" s="3">
        <v>2006</v>
      </c>
      <c r="C238" s="106" t="s">
        <v>66</v>
      </c>
      <c r="D238" s="98" t="s">
        <v>19</v>
      </c>
      <c r="E238" s="103">
        <f>(T238-W238)/(R238-W238-Z238+AD238)</f>
        <v>0.30236794171220399</v>
      </c>
      <c r="F238" s="103">
        <f>AA238/Q238</f>
        <v>0.33407079646017701</v>
      </c>
      <c r="G238" s="103">
        <f>(U238+V238+W238)/T238</f>
        <v>0.23529411764705882</v>
      </c>
      <c r="H238" s="103">
        <f>(AA238+S238)/Q238</f>
        <v>0.45501474926253688</v>
      </c>
      <c r="I238" s="103">
        <f>(AA238/R238)+((T238+Y238+AB238)/(R238+Y238+AB238+AD238))</f>
        <v>0.67836218359075318</v>
      </c>
      <c r="J238" s="103">
        <f>W238/AA238</f>
        <v>1.7660044150110375E-2</v>
      </c>
      <c r="K238" s="103">
        <f>(AC238+AD238)/AA238</f>
        <v>0.11699779249448124</v>
      </c>
      <c r="L238" s="103">
        <f>Z238/Q238</f>
        <v>0.10250737463126844</v>
      </c>
      <c r="M238" s="103">
        <f>(Y238+AB238)/Q238</f>
        <v>5.0884955752212392E-2</v>
      </c>
      <c r="N238" s="104">
        <f>(1-E238*0.7635+1-F238*0.7562+1-G238*0.75+1-H238*0.7248+1-I238*0.7021+1-J238*0.6285+K238*0.5884+L238*0.5276+1-M238*0.3663)/11.068</f>
        <v>0.50841708235801664</v>
      </c>
      <c r="O238" s="105">
        <f>N238/0.4996*100</f>
        <v>101.76482833427075</v>
      </c>
      <c r="P238" s="102">
        <f>(O238-100)/100*Q238*0.6611</f>
        <v>15.820831839823448</v>
      </c>
      <c r="Q238" s="54">
        <v>1356</v>
      </c>
      <c r="R238" s="21">
        <f>Q238-Y238-AB238-AC238-AD238</f>
        <v>1234</v>
      </c>
      <c r="S238" s="19">
        <v>164</v>
      </c>
      <c r="T238" s="19">
        <v>340</v>
      </c>
      <c r="U238" s="21">
        <v>55</v>
      </c>
      <c r="V238" s="21">
        <v>17</v>
      </c>
      <c r="W238" s="19">
        <v>8</v>
      </c>
      <c r="X238" s="19" t="s">
        <v>19</v>
      </c>
      <c r="Y238" s="54">
        <v>60</v>
      </c>
      <c r="Z238" s="19">
        <v>139</v>
      </c>
      <c r="AA238" s="21">
        <f>T238+U238+V238*2+W238*3</f>
        <v>453</v>
      </c>
      <c r="AB238" s="19">
        <v>9</v>
      </c>
      <c r="AC238" s="21">
        <v>42</v>
      </c>
      <c r="AD238" s="21">
        <v>11</v>
      </c>
      <c r="AE238" s="9"/>
      <c r="AF238" s="37"/>
      <c r="AG238" s="37"/>
      <c r="AH238" s="37"/>
      <c r="AI238" s="37"/>
      <c r="AJ238" s="37"/>
      <c r="AK238" s="38"/>
      <c r="AL238" s="37"/>
      <c r="AM238" s="38"/>
    </row>
    <row r="239" spans="1:67" x14ac:dyDescent="0.2">
      <c r="A239" s="9"/>
      <c r="B239" s="3">
        <v>1989</v>
      </c>
      <c r="C239" s="51" t="s">
        <v>117</v>
      </c>
      <c r="D239" s="26" t="s">
        <v>19</v>
      </c>
      <c r="E239" s="72">
        <f>(T239-W239)/(R239-W239-Z239+AD239)</f>
        <v>0.29306071871127631</v>
      </c>
      <c r="F239" s="72">
        <f>AA239/Q239</f>
        <v>0.35602775368603645</v>
      </c>
      <c r="G239" s="72">
        <f>(U239+V239+W239)/T239</f>
        <v>0.24050632911392406</v>
      </c>
      <c r="H239" s="72">
        <f>(AA239+X239)/Q239</f>
        <v>0.43983087597571552</v>
      </c>
      <c r="I239" s="72">
        <f>(AA239/R239)+((T239+Y239+AB239)/(R239+Y239+AB239+AD239))</f>
        <v>0.72625990333370005</v>
      </c>
      <c r="J239" s="72">
        <f>W239/AA239</f>
        <v>2.5578562728380026E-2</v>
      </c>
      <c r="K239" s="72">
        <f>(AC239+AD239)/AA239</f>
        <v>4.8721071863580996E-2</v>
      </c>
      <c r="L239" s="72">
        <f>Z239/Q239</f>
        <v>3.751084128360798E-2</v>
      </c>
      <c r="M239" s="72">
        <f>(Y239+AB239)/Q239</f>
        <v>6.7974848222029483E-2</v>
      </c>
      <c r="N239" s="58">
        <f>(E239*0.7635+F239*0.7562+G239*0.75+H239*0.7248+I239*0.7021+J239*0.6285+1-K239*0.5884+1-L239*0.5276+M239*0.3663)/6.931</f>
        <v>0.50419469123927663</v>
      </c>
      <c r="O239" s="65">
        <f>N239/0.5022*100</f>
        <v>100.39719060917496</v>
      </c>
      <c r="P239" s="155">
        <f>(O239-100)/100*Q239*0.3389</f>
        <v>12.416232460731973</v>
      </c>
      <c r="Q239" s="54">
        <v>9224</v>
      </c>
      <c r="R239" s="21">
        <f>Q239-Y239-AB239-AC239-AD239</f>
        <v>8437</v>
      </c>
      <c r="S239" s="20" t="s">
        <v>19</v>
      </c>
      <c r="T239" s="19">
        <v>2449</v>
      </c>
      <c r="U239" s="19">
        <v>427</v>
      </c>
      <c r="V239" s="19">
        <v>78</v>
      </c>
      <c r="W239" s="19">
        <v>84</v>
      </c>
      <c r="X239" s="19">
        <v>773</v>
      </c>
      <c r="Y239" s="54">
        <v>606</v>
      </c>
      <c r="Z239" s="19">
        <v>346</v>
      </c>
      <c r="AA239" s="54">
        <f>T239+U239+V239*2+W239*3</f>
        <v>3284</v>
      </c>
      <c r="AB239" s="19">
        <v>21</v>
      </c>
      <c r="AC239" s="19">
        <v>97</v>
      </c>
      <c r="AD239" s="21">
        <v>63</v>
      </c>
      <c r="AE239" s="9"/>
      <c r="AF239" s="37"/>
      <c r="AG239" s="37"/>
      <c r="AH239" s="37"/>
      <c r="AI239" s="37"/>
      <c r="AJ239" s="37"/>
      <c r="AK239" s="38"/>
      <c r="AL239" s="37"/>
      <c r="AM239" s="38"/>
    </row>
    <row r="240" spans="1:67" x14ac:dyDescent="0.2">
      <c r="A240" s="9"/>
      <c r="B240" s="3">
        <v>2006</v>
      </c>
      <c r="C240" s="51" t="s">
        <v>64</v>
      </c>
      <c r="D240" s="26" t="s">
        <v>19</v>
      </c>
      <c r="E240" s="71">
        <f>(T240-W240)/(R240-W240-Z240+AD240)</f>
        <v>0.3252212389380531</v>
      </c>
      <c r="F240" s="71">
        <f>AA240/Q240</f>
        <v>0.34803921568627449</v>
      </c>
      <c r="G240" s="71">
        <f>(U240+V240+W240)/T240</f>
        <v>0.24025974025974026</v>
      </c>
      <c r="H240" s="71">
        <f>(AA240+X240)/Q240</f>
        <v>0.48529411764705882</v>
      </c>
      <c r="I240" s="71">
        <f>(AA240/R240)+((T240+Y240+AB240)/(R240+Y240+AB240+AD240))</f>
        <v>0.83345924453280318</v>
      </c>
      <c r="J240" s="71">
        <f>W240/AA240</f>
        <v>3.2863849765258218E-2</v>
      </c>
      <c r="K240" s="71">
        <f>(AC240+AD240)/AA240</f>
        <v>7.9812206572769953E-2</v>
      </c>
      <c r="L240" s="71">
        <f>Z240/Q240</f>
        <v>8.0065359477124176E-2</v>
      </c>
      <c r="M240" s="71">
        <f>(Y240+AB240)/Q240</f>
        <v>0.15032679738562091</v>
      </c>
      <c r="N240" s="57">
        <f>(E240*0.7635+F240*0.7562+G240*0.75+H240*0.7248+I240*0.7021+J240*0.6285+1-K240*0.5884+1-L240*0.5276+M240*0.3663)/6.931</f>
        <v>0.5215866451500949</v>
      </c>
      <c r="O240" s="64">
        <f>N240/0.5006*100</f>
        <v>104.19229827209247</v>
      </c>
      <c r="P240" s="155">
        <f>(O240-100)/100*Q240*0.3389</f>
        <v>8.6951116926022891</v>
      </c>
      <c r="Q240" s="54">
        <v>612</v>
      </c>
      <c r="R240" s="21">
        <f>Q240-Y240-AB240-AC240-AD240</f>
        <v>503</v>
      </c>
      <c r="S240" s="20" t="s">
        <v>19</v>
      </c>
      <c r="T240" s="19">
        <v>154</v>
      </c>
      <c r="U240" s="19">
        <v>22</v>
      </c>
      <c r="V240" s="19">
        <v>8</v>
      </c>
      <c r="W240" s="19">
        <v>7</v>
      </c>
      <c r="X240" s="19">
        <v>84</v>
      </c>
      <c r="Y240" s="54">
        <v>84</v>
      </c>
      <c r="Z240" s="21">
        <v>49</v>
      </c>
      <c r="AA240" s="54">
        <f>T240+U240+V240*2+W240*3</f>
        <v>213</v>
      </c>
      <c r="AB240" s="19">
        <v>8</v>
      </c>
      <c r="AC240" s="19">
        <v>12</v>
      </c>
      <c r="AD240" s="21">
        <v>5</v>
      </c>
      <c r="AE240" s="9"/>
      <c r="AF240" s="37"/>
      <c r="AG240" s="37"/>
      <c r="AH240" s="37"/>
      <c r="AI240" s="37"/>
      <c r="AJ240" s="37"/>
      <c r="AK240" s="38"/>
      <c r="AL240" s="37"/>
      <c r="AM240" s="38"/>
    </row>
    <row r="241" spans="1:39" x14ac:dyDescent="0.2">
      <c r="A241" s="9"/>
      <c r="B241" s="3">
        <v>1971</v>
      </c>
      <c r="C241" s="106" t="s">
        <v>182</v>
      </c>
      <c r="D241" s="98" t="s">
        <v>19</v>
      </c>
      <c r="E241" s="99">
        <f>(T241-W241)/(R241-W241-Z241+AD241)</f>
        <v>0.29231344679259397</v>
      </c>
      <c r="F241" s="99">
        <f>AA241/Q241</f>
        <v>0.31661901620115829</v>
      </c>
      <c r="G241" s="99">
        <f>(U241+V241+W241)/T241</f>
        <v>0.21713578719455615</v>
      </c>
      <c r="H241" s="99">
        <f>(AA241+S241)/Q241</f>
        <v>0.42240304962979253</v>
      </c>
      <c r="I241" s="99">
        <f>(AA241/R241)+((T241+Y241+AB241)/(R241+Y241+AB241+AD241))</f>
        <v>0.66233216014411367</v>
      </c>
      <c r="J241" s="99">
        <f>W241/AA241</f>
        <v>2.4774253299374854E-2</v>
      </c>
      <c r="K241" s="99">
        <f>(AC241+AD241)/AA241</f>
        <v>0.10650613567955546</v>
      </c>
      <c r="L241" s="99">
        <f>Z241/Q241</f>
        <v>0.11678029469980207</v>
      </c>
      <c r="M241" s="99">
        <f>(Y241+AB241)/Q241</f>
        <v>6.5757642401583466E-2</v>
      </c>
      <c r="N241" s="100">
        <f>(1-E241*0.7635+1-F241*0.7562+1-G241*0.75+1-H241*0.7248+1-I241*0.7021+1-J241*0.6285+K241*0.5884+L241*0.5276+1-M241*0.3663)/11.068</f>
        <v>0.51391238290792152</v>
      </c>
      <c r="O241" s="101">
        <f>N241/0.5137*100</f>
        <v>100.041343762492</v>
      </c>
      <c r="P241" s="102">
        <f>(O241-100)/100*Q241*0.6611</f>
        <v>3.7284074163183929</v>
      </c>
      <c r="Q241" s="54">
        <v>13641</v>
      </c>
      <c r="R241" s="21">
        <f>Q241-Y241-AB241-AC241-AD241</f>
        <v>12284</v>
      </c>
      <c r="S241" s="19">
        <v>1443</v>
      </c>
      <c r="T241" s="19">
        <v>3233</v>
      </c>
      <c r="U241" s="21">
        <v>425</v>
      </c>
      <c r="V241" s="21">
        <v>170</v>
      </c>
      <c r="W241" s="19">
        <v>107</v>
      </c>
      <c r="X241" s="20" t="s">
        <v>19</v>
      </c>
      <c r="Y241" s="54">
        <v>858</v>
      </c>
      <c r="Z241" s="19">
        <v>1593</v>
      </c>
      <c r="AA241" s="21">
        <f>T241+U241+V241*2+W241*3</f>
        <v>4319</v>
      </c>
      <c r="AB241" s="21">
        <v>39</v>
      </c>
      <c r="AC241" s="21">
        <v>350</v>
      </c>
      <c r="AD241" s="21">
        <v>110</v>
      </c>
      <c r="AE241" s="9"/>
      <c r="AF241" s="37"/>
      <c r="AG241" s="37"/>
      <c r="AH241" s="37"/>
      <c r="AI241" s="37"/>
      <c r="AJ241" s="37"/>
      <c r="AK241" s="38"/>
      <c r="AL241" s="37"/>
      <c r="AM241" s="38"/>
    </row>
    <row r="242" spans="1:39" x14ac:dyDescent="0.2">
      <c r="A242" s="9"/>
      <c r="B242" s="3">
        <v>2006</v>
      </c>
      <c r="C242" s="51" t="s">
        <v>67</v>
      </c>
      <c r="D242" s="26" t="s">
        <v>19</v>
      </c>
      <c r="E242" s="71">
        <f>(T242-W242)/(R242-W242-Z242+AD242)</f>
        <v>0.33440514469453375</v>
      </c>
      <c r="F242" s="71">
        <f>AA242/Q242</f>
        <v>0.37239583333333331</v>
      </c>
      <c r="G242" s="71">
        <f>(U242+V242+W242)/T242</f>
        <v>0.11711711711711711</v>
      </c>
      <c r="H242" s="71">
        <f>(AA242+X242)/Q242</f>
        <v>0.54166666666666663</v>
      </c>
      <c r="I242" s="71">
        <f>(AA242/R242)+((T242+Y242+AB242)/(R242+Y242+AB242+AD242))</f>
        <v>0.77862813102119466</v>
      </c>
      <c r="J242" s="71">
        <f>W242/AA242</f>
        <v>4.8951048951048952E-2</v>
      </c>
      <c r="K242" s="71">
        <f>(AC242+AD242)/AA242</f>
        <v>8.3916083916083919E-2</v>
      </c>
      <c r="L242" s="71">
        <f>Z242/Q242</f>
        <v>8.0729166666666671E-2</v>
      </c>
      <c r="M242" s="71">
        <f>(Y242+AB242)/Q242</f>
        <v>6.7708333333333329E-2</v>
      </c>
      <c r="N242" s="57">
        <f>(E242*0.7635+F242*0.7562+G242*0.75+H242*0.7248+I242*0.7021+J242*0.6285+1-K242*0.5884+1-L242*0.5276+M242*0.3663)/6.931</f>
        <v>0.50896480600561811</v>
      </c>
      <c r="O242" s="64">
        <f>N242/0.5035*100</f>
        <v>101.08536365553489</v>
      </c>
      <c r="P242" s="155">
        <f>(O242-100)/100*Q242*0.3389</f>
        <v>1.4124662125853746</v>
      </c>
      <c r="Q242" s="54">
        <v>384</v>
      </c>
      <c r="R242" s="21">
        <f>Q242-Y242-AB242-AC242-AD242</f>
        <v>346</v>
      </c>
      <c r="S242" s="20" t="s">
        <v>19</v>
      </c>
      <c r="T242" s="19">
        <v>111</v>
      </c>
      <c r="U242" s="19">
        <v>1</v>
      </c>
      <c r="V242" s="19">
        <v>5</v>
      </c>
      <c r="W242" s="19">
        <v>7</v>
      </c>
      <c r="X242" s="19">
        <v>65</v>
      </c>
      <c r="Y242" s="54">
        <v>24</v>
      </c>
      <c r="Z242" s="21">
        <v>31</v>
      </c>
      <c r="AA242" s="54">
        <f>T242+U242+V242*2+W242*3</f>
        <v>143</v>
      </c>
      <c r="AB242" s="21">
        <v>2</v>
      </c>
      <c r="AC242" s="19">
        <v>9</v>
      </c>
      <c r="AD242" s="21">
        <v>3</v>
      </c>
      <c r="AE242" s="9"/>
      <c r="AF242" s="37"/>
      <c r="AG242" s="37"/>
      <c r="AH242" s="37"/>
      <c r="AI242" s="37"/>
      <c r="AJ242" s="37"/>
      <c r="AK242" s="38"/>
      <c r="AL242" s="37"/>
      <c r="AM242" s="38"/>
    </row>
    <row r="243" spans="1:39" x14ac:dyDescent="0.2">
      <c r="A243" s="9"/>
      <c r="B243" s="3">
        <v>1946</v>
      </c>
      <c r="C243" s="124" t="s">
        <v>327</v>
      </c>
      <c r="D243" s="112" t="s">
        <v>19</v>
      </c>
      <c r="E243" s="121">
        <f>(T243-W243)/(R243-W243-Z243+AD243)</f>
        <v>0.27602739726027398</v>
      </c>
      <c r="F243" s="121">
        <f>AA243/Q243</f>
        <v>0.29937071342713711</v>
      </c>
      <c r="G243" s="121">
        <f>(U243+V243+W243)/T243</f>
        <v>0.20634920634920634</v>
      </c>
      <c r="H243" s="121">
        <f>(AA243+S243)/Q243</f>
        <v>0.40090504136321853</v>
      </c>
      <c r="I243" s="121">
        <f>(AA243/R243)+((T243+Y243+AB243)/(R243+Y243+AB243+AD243))</f>
        <v>0.64323737364113454</v>
      </c>
      <c r="J243" s="121">
        <f>W243/AA243</f>
        <v>1.228153046764289E-2</v>
      </c>
      <c r="K243" s="121">
        <f>(AC243+AD243)/AA243</f>
        <v>0.11076995748700992</v>
      </c>
      <c r="L243" s="121">
        <f>Z243/Q243</f>
        <v>7.5514388743548044E-2</v>
      </c>
      <c r="M243" s="121">
        <f>(Y243+AB243)/Q243</f>
        <v>7.0069999292936433E-2</v>
      </c>
      <c r="N243" s="122">
        <f>(1-E243*0.7635+1-F243*0.7562+1-G243*0.75+1-H243*0.7248+1-I243*0.7021+1-J243*0.6285+K243*0.5884+L243*0.5276+1-M243*0.3663)/11.068</f>
        <v>0.51839058201746568</v>
      </c>
      <c r="O243" s="123">
        <f>N243/0.5184*100</f>
        <v>99.998183259541989</v>
      </c>
      <c r="P243" s="107">
        <f>(O243-100)/100*Q243*0.6611</f>
        <v>-0.16986409372777703</v>
      </c>
      <c r="Q243" s="54">
        <v>14143</v>
      </c>
      <c r="R243" s="21">
        <f>Q243-Y243-AB243-AC243-AD243</f>
        <v>12683</v>
      </c>
      <c r="S243" s="19">
        <v>1436</v>
      </c>
      <c r="T243" s="19">
        <v>3276</v>
      </c>
      <c r="U243" s="21">
        <v>446</v>
      </c>
      <c r="V243" s="21">
        <v>178</v>
      </c>
      <c r="W243" s="19">
        <v>52</v>
      </c>
      <c r="X243" s="19" t="s">
        <v>19</v>
      </c>
      <c r="Y243" s="54">
        <v>812</v>
      </c>
      <c r="Z243" s="19">
        <v>1068</v>
      </c>
      <c r="AA243" s="21">
        <f>T243+U243+V243*2+W243*3</f>
        <v>4234</v>
      </c>
      <c r="AB243" s="19">
        <v>179</v>
      </c>
      <c r="AC243" s="21">
        <v>352</v>
      </c>
      <c r="AD243" s="21">
        <v>117</v>
      </c>
      <c r="AE243" s="9"/>
      <c r="AF243" s="37"/>
      <c r="AG243" s="37"/>
      <c r="AH243" s="37"/>
      <c r="AI243" s="37"/>
      <c r="AJ243" s="37"/>
      <c r="AK243" s="38"/>
      <c r="AL243" s="37"/>
      <c r="AM243" s="38"/>
    </row>
    <row r="244" spans="1:39" x14ac:dyDescent="0.2">
      <c r="A244" s="9"/>
      <c r="B244" s="3">
        <v>1964</v>
      </c>
      <c r="C244" s="124" t="s">
        <v>202</v>
      </c>
      <c r="D244" s="112" t="s">
        <v>19</v>
      </c>
      <c r="E244" s="121">
        <f>(T244-W244)/(R244-W244-Z244+AD244)</f>
        <v>0.29272752848501898</v>
      </c>
      <c r="F244" s="121">
        <f>AA244/Q244</f>
        <v>0.32141976830170077</v>
      </c>
      <c r="G244" s="121">
        <f>(U244+V244+W244)/T244</f>
        <v>0.16753678215472234</v>
      </c>
      <c r="H244" s="121">
        <f>(AA244+X244)/Q244</f>
        <v>0.42851860981020456</v>
      </c>
      <c r="I244" s="121">
        <f>(AA244/R244)+((T244+Y244+AB244)/(R244+Y244+AB244+AD244))</f>
        <v>0.67898386819924028</v>
      </c>
      <c r="J244" s="121">
        <f>W244/AA244</f>
        <v>9.9693251533742328E-3</v>
      </c>
      <c r="K244" s="121">
        <f>(AC244+AD244)/AA244</f>
        <v>8.7423312883435578E-2</v>
      </c>
      <c r="L244" s="121">
        <f>Z244/Q244</f>
        <v>4.0177471037712596E-2</v>
      </c>
      <c r="M244" s="121">
        <f>(Y244+AB244)/Q244</f>
        <v>6.0142962780379589E-2</v>
      </c>
      <c r="N244" s="122">
        <f>(E244*0.7635+F244*0.7562+G244*0.75+H244*0.7248+I244*0.7021+J244*0.6285+1-K244*0.5884+1-L244*0.5276+M244*0.3663)/6.931</f>
        <v>0.481196237593776</v>
      </c>
      <c r="O244" s="123">
        <f>N244/0.4816*100</f>
        <v>99.916162291066442</v>
      </c>
      <c r="P244" s="107">
        <f>(O244-100)/100*Q244*0.3389</f>
        <v>-2.3053983281022692</v>
      </c>
      <c r="Q244" s="54">
        <v>8114</v>
      </c>
      <c r="R244" s="21">
        <f>Q244-Y244-AB244-AC244-AD244</f>
        <v>7398</v>
      </c>
      <c r="S244" s="20" t="s">
        <v>19</v>
      </c>
      <c r="T244" s="19">
        <v>2107</v>
      </c>
      <c r="U244" s="19">
        <v>231</v>
      </c>
      <c r="V244" s="19">
        <v>96</v>
      </c>
      <c r="W244" s="19">
        <v>26</v>
      </c>
      <c r="X244" s="19">
        <v>869</v>
      </c>
      <c r="Y244" s="54">
        <v>421</v>
      </c>
      <c r="Z244" s="19">
        <v>326</v>
      </c>
      <c r="AA244" s="54">
        <f>T244+U244+V244*2+W244*3</f>
        <v>2608</v>
      </c>
      <c r="AB244" s="21">
        <v>67</v>
      </c>
      <c r="AC244" s="21">
        <v>165</v>
      </c>
      <c r="AD244" s="21">
        <v>63</v>
      </c>
      <c r="AE244" s="9"/>
      <c r="AF244" s="37"/>
      <c r="AG244" s="37"/>
      <c r="AH244" s="37"/>
      <c r="AI244" s="37"/>
      <c r="AJ244" s="37"/>
      <c r="AK244" s="38"/>
      <c r="AL244" s="37"/>
      <c r="AM244" s="38"/>
    </row>
    <row r="245" spans="1:39" x14ac:dyDescent="0.2">
      <c r="A245" s="9"/>
      <c r="B245" s="3">
        <v>1973</v>
      </c>
      <c r="C245" s="124" t="s">
        <v>319</v>
      </c>
      <c r="D245" s="112" t="s">
        <v>19</v>
      </c>
      <c r="E245" s="121">
        <f>(T245-W245)/(R245-W245-Z245+AD245)</f>
        <v>0.27190002426595489</v>
      </c>
      <c r="F245" s="121">
        <f>AA245/Q245</f>
        <v>0.30524916289147136</v>
      </c>
      <c r="G245" s="121">
        <f>(U245+V245+W245)/T245</f>
        <v>0.24193548387096775</v>
      </c>
      <c r="H245" s="121">
        <f>(AA245+S245)/Q245</f>
        <v>0.43111089225920818</v>
      </c>
      <c r="I245" s="121">
        <f>(AA245/R245)+((T245+Y245+AB245)/(R245+Y245+AB245+AD245))</f>
        <v>0.64261130457718263</v>
      </c>
      <c r="J245" s="121">
        <f>W245/AA245</f>
        <v>1.7099532182610098E-2</v>
      </c>
      <c r="K245" s="121">
        <f>(AC245+AD245)/AA245</f>
        <v>9.307952895628327E-2</v>
      </c>
      <c r="L245" s="121">
        <f>Z245/Q245</f>
        <v>9.1097104589324407E-2</v>
      </c>
      <c r="M245" s="121">
        <f>(Y245+AB245)/Q245</f>
        <v>7.1351191648611381E-2</v>
      </c>
      <c r="N245" s="122">
        <f>(1-E245*0.7635+1-F245*0.7562+1-G245*0.75+1-H245*0.7248+1-I245*0.7021+1-J245*0.6285+K245*0.5884+L245*0.5276+1-M245*0.3663)/11.068</f>
        <v>0.51341024211055486</v>
      </c>
      <c r="O245" s="123">
        <f>N245/0.5135*100</f>
        <v>99.982520372065224</v>
      </c>
      <c r="P245" s="107">
        <f>(O245-100)/100*Q245*0.6611</f>
        <v>-2.3467482141813352</v>
      </c>
      <c r="Q245" s="54">
        <v>20308</v>
      </c>
      <c r="R245" s="21">
        <f>Q245-Y245-AB245-AC245-AD245</f>
        <v>18282</v>
      </c>
      <c r="S245" s="19">
        <v>2556</v>
      </c>
      <c r="T245" s="19">
        <v>4588</v>
      </c>
      <c r="U245" s="21">
        <v>715</v>
      </c>
      <c r="V245" s="21">
        <v>289</v>
      </c>
      <c r="W245" s="19">
        <v>106</v>
      </c>
      <c r="X245" s="19" t="s">
        <v>19</v>
      </c>
      <c r="Y245" s="54">
        <v>1297</v>
      </c>
      <c r="Z245" s="19">
        <v>1850</v>
      </c>
      <c r="AA245" s="54">
        <f>T245+U245+V245*2+W245*3</f>
        <v>6199</v>
      </c>
      <c r="AB245" s="21">
        <v>152</v>
      </c>
      <c r="AC245" s="21">
        <v>419</v>
      </c>
      <c r="AD245" s="21">
        <v>158</v>
      </c>
      <c r="AE245" s="9"/>
      <c r="AF245" s="37"/>
      <c r="AG245" s="37"/>
      <c r="AH245" s="37"/>
      <c r="AI245" s="37"/>
      <c r="AJ245" s="37"/>
      <c r="AK245" s="38"/>
      <c r="AL245" s="37"/>
      <c r="AM245" s="38"/>
    </row>
    <row r="246" spans="1:39" x14ac:dyDescent="0.2">
      <c r="A246" s="9"/>
      <c r="B246" s="3">
        <v>1967</v>
      </c>
      <c r="C246" s="124" t="s">
        <v>195</v>
      </c>
      <c r="D246" s="112" t="s">
        <v>19</v>
      </c>
      <c r="E246" s="121">
        <f>(T246-W246)/(R246-W246-Z246+AD246)</f>
        <v>0.32071739417117234</v>
      </c>
      <c r="F246" s="121">
        <f>AA246/Q246</f>
        <v>0.36667866138898886</v>
      </c>
      <c r="G246" s="121">
        <f>(U246+V246+W246)/T246</f>
        <v>0.17324115494103293</v>
      </c>
      <c r="H246" s="121">
        <f>(AA246+X246)/Q246</f>
        <v>0.43840710087561474</v>
      </c>
      <c r="I246" s="121">
        <f>(AA246/R246)+((T246+Y246+AB246)/(R246+Y246+AB246+AD246))</f>
        <v>0.74905556392304484</v>
      </c>
      <c r="J246" s="121">
        <f>W246/AA246</f>
        <v>8.832188420019628E-3</v>
      </c>
      <c r="K246" s="121">
        <f>(AC246+AD246)/AA246</f>
        <v>5.6264311416421325E-2</v>
      </c>
      <c r="L246" s="121">
        <f>Z246/Q246</f>
        <v>2.0750869617368359E-2</v>
      </c>
      <c r="M246" s="121">
        <f>(Y246+AB246)/Q246</f>
        <v>5.3496461556914961E-2</v>
      </c>
      <c r="N246" s="122">
        <f>(E246*0.7635+F246*0.7562+G246*0.75+H246*0.7248+I246*0.7021+J246*0.6285+1-K246*0.5884+1-L246*0.5276+M246*0.3663)/6.931</f>
        <v>0.50163657238285486</v>
      </c>
      <c r="O246" s="123">
        <f>N246/0.5029*100</f>
        <v>99.748771601283522</v>
      </c>
      <c r="P246" s="107">
        <f>(O246-100)/100*Q246*0.3389</f>
        <v>-7.0982305415764451</v>
      </c>
      <c r="Q246" s="54">
        <v>8337</v>
      </c>
      <c r="R246" s="21">
        <f>Q246-Y246-AB246-AC246-AD246</f>
        <v>7719</v>
      </c>
      <c r="S246" s="20" t="s">
        <v>19</v>
      </c>
      <c r="T246" s="19">
        <v>2459</v>
      </c>
      <c r="U246" s="19">
        <v>281</v>
      </c>
      <c r="V246" s="19">
        <v>118</v>
      </c>
      <c r="W246" s="19">
        <v>27</v>
      </c>
      <c r="X246" s="19">
        <v>598</v>
      </c>
      <c r="Y246" s="54">
        <v>420</v>
      </c>
      <c r="Z246" s="19">
        <v>173</v>
      </c>
      <c r="AA246" s="54">
        <f>T246+U246+V246*2+W246*3</f>
        <v>3057</v>
      </c>
      <c r="AB246" s="19">
        <v>26</v>
      </c>
      <c r="AC246" s="19">
        <v>108</v>
      </c>
      <c r="AD246" s="21">
        <v>64</v>
      </c>
      <c r="AE246" s="9"/>
      <c r="AF246" s="37"/>
      <c r="AG246" s="37"/>
      <c r="AH246" s="37"/>
      <c r="AI246" s="37"/>
      <c r="AJ246" s="37"/>
      <c r="AK246" s="38"/>
      <c r="AL246" s="37"/>
      <c r="AM246" s="38"/>
    </row>
    <row r="247" spans="1:39" x14ac:dyDescent="0.2">
      <c r="A247" s="9"/>
      <c r="B247" s="3">
        <v>1987</v>
      </c>
      <c r="C247" s="124" t="s">
        <v>320</v>
      </c>
      <c r="D247" s="112">
        <v>0.76300000000000001</v>
      </c>
      <c r="E247" s="234">
        <f>(T247-W247)/(R247-W247-Z247+AD247)</f>
        <v>0.24583769384454382</v>
      </c>
      <c r="F247" s="121">
        <f>AA247/Q247</f>
        <v>0.33808437856328394</v>
      </c>
      <c r="G247" s="121">
        <f>(U247+V247+W247)/T247</f>
        <v>0.32724814063556457</v>
      </c>
      <c r="H247" s="121">
        <f>(AA247+S247)/Q247</f>
        <v>0.43643101482326113</v>
      </c>
      <c r="I247" s="121">
        <f>(AA247/R247)+((T247+Y247+AB247)/(R247+Y247+AB247+AD247))</f>
        <v>0.65547324464701906</v>
      </c>
      <c r="J247" s="121">
        <f>W247/AA247</f>
        <v>7.8836424957841489E-2</v>
      </c>
      <c r="K247" s="121">
        <f>(AC247+AD247)/AA247</f>
        <v>4.7428330522765599E-2</v>
      </c>
      <c r="L247" s="121">
        <f>Z247/Q247</f>
        <v>0.14338654503990877</v>
      </c>
      <c r="M247" s="121">
        <f>(Y247+AB247)/Q247</f>
        <v>7.1479475484606619E-2</v>
      </c>
      <c r="N247" s="122">
        <f>(1-E247*0.7635+1-F247*0.7562+1-G247*0.75+1-H247*0.7248+1-I247*0.7021+1-J247*0.6285+K247*0.5884+L247*0.5276+1-M247*0.3663)/11.068</f>
        <v>0.50257502615463734</v>
      </c>
      <c r="O247" s="123">
        <f>N247/0.5036*100</f>
        <v>99.796470642302879</v>
      </c>
      <c r="P247" s="107">
        <f>(O247-100)/100*Q247*0.6611</f>
        <v>-18.880513214978908</v>
      </c>
      <c r="Q247" s="54">
        <v>14032</v>
      </c>
      <c r="R247" s="54">
        <f>Q247-Y247-AB247-AC247-AD247</f>
        <v>12804</v>
      </c>
      <c r="S247" s="19">
        <v>1380</v>
      </c>
      <c r="T247" s="19">
        <v>2958</v>
      </c>
      <c r="U247" s="19">
        <v>524</v>
      </c>
      <c r="V247" s="19">
        <v>70</v>
      </c>
      <c r="W247" s="19">
        <v>374</v>
      </c>
      <c r="X247" s="19" t="s">
        <v>19</v>
      </c>
      <c r="Y247" s="54">
        <v>954</v>
      </c>
      <c r="Z247" s="19">
        <v>2012</v>
      </c>
      <c r="AA247" s="54">
        <f>T247+U247+V247*2+W247*3</f>
        <v>4744</v>
      </c>
      <c r="AB247" s="19">
        <v>49</v>
      </c>
      <c r="AC247" s="19">
        <v>132</v>
      </c>
      <c r="AD247" s="19">
        <v>93</v>
      </c>
      <c r="AE247" s="9"/>
      <c r="AF247" s="37"/>
      <c r="AG247" s="37"/>
      <c r="AH247" s="37"/>
      <c r="AI247" s="37"/>
      <c r="AJ247" s="37"/>
      <c r="AK247" s="38"/>
      <c r="AL247" s="37"/>
      <c r="AM247" s="38"/>
    </row>
    <row r="248" spans="1:39" x14ac:dyDescent="0.2">
      <c r="A248" s="9"/>
      <c r="B248" s="3">
        <v>1984</v>
      </c>
      <c r="C248" s="124" t="s">
        <v>132</v>
      </c>
      <c r="D248" s="112" t="s">
        <v>19</v>
      </c>
      <c r="E248" s="121">
        <f>(T248-W248)/(R248-W248-Z248+AD248)</f>
        <v>0.28939544103072351</v>
      </c>
      <c r="F248" s="121">
        <f>AA248/Q248</f>
        <v>0.32073479729729731</v>
      </c>
      <c r="G248" s="121">
        <f>(U248+V248+W248)/T248</f>
        <v>0.24700460829493087</v>
      </c>
      <c r="H248" s="121">
        <f>(AA248+X248)/Q248</f>
        <v>0.41416807432432434</v>
      </c>
      <c r="I248" s="121">
        <f>(AA248/R248)+((T248+Y248+AB248)/(R248+Y248+AB248+AD248))</f>
        <v>0.74506481546842962</v>
      </c>
      <c r="J248" s="121">
        <f>W248/AA248</f>
        <v>4.1474654377880185E-2</v>
      </c>
      <c r="K248" s="121">
        <f>(AC248+AD248)/AA248</f>
        <v>7.5378538512179072E-2</v>
      </c>
      <c r="L248" s="121">
        <f>Z248/Q248</f>
        <v>9.3961148648648643E-2</v>
      </c>
      <c r="M248" s="121">
        <f>(Y248+AB248)/Q248</f>
        <v>0.13048986486486486</v>
      </c>
      <c r="N248" s="122">
        <f>(E248*0.7635+F248*0.7562+G248*0.75+H248*0.7248+I248*0.7021+J248*0.6285+1-K248*0.5884+1-L248*0.5276+M248*0.3663)/6.931</f>
        <v>0.49804994662587371</v>
      </c>
      <c r="O248" s="123">
        <f>N248/0.5017*100</f>
        <v>99.272462951140866</v>
      </c>
      <c r="P248" s="107">
        <f>(O248-100)/100*Q248*0.3389</f>
        <v>-23.354381610903889</v>
      </c>
      <c r="Q248" s="54">
        <v>9472</v>
      </c>
      <c r="R248" s="21">
        <f>Q248-Y248-AB248-AC248-AD248</f>
        <v>8007</v>
      </c>
      <c r="S248" s="20" t="s">
        <v>19</v>
      </c>
      <c r="T248" s="19">
        <v>2170</v>
      </c>
      <c r="U248" s="19">
        <v>330</v>
      </c>
      <c r="V248" s="19">
        <v>80</v>
      </c>
      <c r="W248" s="19">
        <v>126</v>
      </c>
      <c r="X248" s="19">
        <v>885</v>
      </c>
      <c r="Y248" s="54">
        <v>1210</v>
      </c>
      <c r="Z248" s="19">
        <v>890</v>
      </c>
      <c r="AA248" s="54">
        <f>T248+U248+V248*2+W248*3</f>
        <v>3038</v>
      </c>
      <c r="AB248" s="19">
        <v>26</v>
      </c>
      <c r="AC248" s="19">
        <v>157</v>
      </c>
      <c r="AD248" s="21">
        <v>72</v>
      </c>
      <c r="AE248" s="9"/>
      <c r="AF248" s="37"/>
      <c r="AG248" s="37"/>
      <c r="AH248" s="37"/>
      <c r="AI248" s="37"/>
      <c r="AJ248" s="37"/>
      <c r="AK248" s="38"/>
      <c r="AL248" s="37"/>
      <c r="AM248" s="38"/>
    </row>
    <row r="249" spans="1:39" x14ac:dyDescent="0.2">
      <c r="A249" s="9"/>
      <c r="B249" s="3">
        <v>1984</v>
      </c>
      <c r="C249" s="124" t="s">
        <v>131</v>
      </c>
      <c r="D249" s="112" t="s">
        <v>19</v>
      </c>
      <c r="E249" s="121">
        <f>(T249-W249)/(R249-W249-Z249+AD249)</f>
        <v>0.29055351842151211</v>
      </c>
      <c r="F249" s="121">
        <f>AA249/Q249</f>
        <v>0.30949689089881288</v>
      </c>
      <c r="G249" s="121">
        <f>(U249+V249+W249)/T249</f>
        <v>0.23463356973995272</v>
      </c>
      <c r="H249" s="121">
        <f>(AA249+X249)/Q249</f>
        <v>0.41322781232334654</v>
      </c>
      <c r="I249" s="121">
        <f>(AA249/R249)+((T249+Y249+AB249)/(R249+Y249+AB249+AD249))</f>
        <v>0.74400386240855743</v>
      </c>
      <c r="J249" s="121">
        <f>W249/AA249</f>
        <v>1.2785388127853882E-2</v>
      </c>
      <c r="K249" s="121">
        <f>(AC249+AD249)/AA249</f>
        <v>7.2146118721461192E-2</v>
      </c>
      <c r="L249" s="121">
        <f>Z249/Q249</f>
        <v>3.9146410401356697E-2</v>
      </c>
      <c r="M249" s="121">
        <f>(Y249+AB249)/Q249</f>
        <v>0.13298473713962691</v>
      </c>
      <c r="N249" s="122">
        <f>(E249*0.7635+F249*0.7562+G249*0.75+H249*0.7248+I249*0.7021+J249*0.6285+1-K249*0.5884+1-L249*0.5276+M249*0.3663)/6.931</f>
        <v>0.49738428379102861</v>
      </c>
      <c r="O249" s="123">
        <f>N249/0.5028*100</f>
        <v>98.922888582145703</v>
      </c>
      <c r="P249" s="107">
        <f>(O249-100)/100*Q249*0.3389</f>
        <v>-25.829739290985717</v>
      </c>
      <c r="Q249" s="54">
        <v>7076</v>
      </c>
      <c r="R249" s="21">
        <f>Q249-Y249-AB249-AC249-AD249</f>
        <v>5977</v>
      </c>
      <c r="S249" s="20" t="s">
        <v>19</v>
      </c>
      <c r="T249" s="19">
        <v>1692</v>
      </c>
      <c r="U249" s="19">
        <v>324</v>
      </c>
      <c r="V249" s="19">
        <v>45</v>
      </c>
      <c r="W249" s="19">
        <v>28</v>
      </c>
      <c r="X249" s="19">
        <v>734</v>
      </c>
      <c r="Y249" s="54">
        <v>931</v>
      </c>
      <c r="Z249" s="19">
        <v>277</v>
      </c>
      <c r="AA249" s="54">
        <f>T249+U249+V249*2+W249*3</f>
        <v>2190</v>
      </c>
      <c r="AB249" s="19">
        <v>10</v>
      </c>
      <c r="AC249" s="19">
        <v>103</v>
      </c>
      <c r="AD249" s="21">
        <v>55</v>
      </c>
      <c r="AE249" s="9"/>
      <c r="AF249" s="37"/>
      <c r="AG249" s="37"/>
      <c r="AH249" s="37"/>
      <c r="AI249" s="37"/>
      <c r="AJ249" s="37"/>
      <c r="AK249" s="38"/>
      <c r="AL249" s="37"/>
      <c r="AM249" s="38"/>
    </row>
    <row r="250" spans="1:39" x14ac:dyDescent="0.2">
      <c r="A250" s="9"/>
      <c r="B250" s="3">
        <v>1995</v>
      </c>
      <c r="C250" s="124" t="s">
        <v>318</v>
      </c>
      <c r="D250" s="112" t="s">
        <v>19</v>
      </c>
      <c r="E250" s="121">
        <f>(T250-W250)/(R250-W250-Z250+AD250)</f>
        <v>0.40984908657664815</v>
      </c>
      <c r="F250" s="121">
        <f>AA250/Q250</f>
        <v>0.35429447852760737</v>
      </c>
      <c r="G250" s="121">
        <f>(U250+V250+W250)/T250</f>
        <v>0.2128060263653484</v>
      </c>
      <c r="H250" s="121">
        <f>(AA250+S250)/Q250</f>
        <v>0.50255623721881393</v>
      </c>
      <c r="I250" s="121">
        <f>(AA250/R250)+((T250+Y250+AB250)/(R250+Y250+AB250+AD250))</f>
        <v>0.81486605572007309</v>
      </c>
      <c r="J250" s="121">
        <f>W250/AA250</f>
        <v>2.1645021645021644E-2</v>
      </c>
      <c r="K250" s="121">
        <f>(AC250+AD250)/AA250</f>
        <v>6.9264069264069264E-2</v>
      </c>
      <c r="L250" s="121">
        <f>Z250/Q250</f>
        <v>0.21012269938650308</v>
      </c>
      <c r="M250" s="121">
        <f>(Y250+AB250)/Q250</f>
        <v>0.12167689161554192</v>
      </c>
      <c r="N250" s="122">
        <f>(1-E250*0.7635+1-F250*0.7562+1-G250*0.75+1-H250*0.7248+1-I250*0.7021+1-J250*0.6285+K250*0.5884+L250*0.5276+1-M250*0.3663)/11.068</f>
        <v>0.48939551613240967</v>
      </c>
      <c r="O250" s="123">
        <f>N250/0.5006*100</f>
        <v>97.761789079586421</v>
      </c>
      <c r="P250" s="107">
        <f>(O250-100)/100*Q250*0.6611</f>
        <v>-28.942565044334756</v>
      </c>
      <c r="Q250" s="21">
        <v>1956</v>
      </c>
      <c r="R250" s="21">
        <f>Q250-Y250-AB250-AC250-AD250</f>
        <v>1670</v>
      </c>
      <c r="S250" s="19">
        <v>290</v>
      </c>
      <c r="T250" s="19">
        <v>531</v>
      </c>
      <c r="U250" s="21">
        <v>79</v>
      </c>
      <c r="V250" s="21">
        <v>19</v>
      </c>
      <c r="W250" s="19">
        <v>15</v>
      </c>
      <c r="X250" s="19" t="s">
        <v>19</v>
      </c>
      <c r="Y250" s="54">
        <v>224</v>
      </c>
      <c r="Z250" s="19">
        <v>411</v>
      </c>
      <c r="AA250" s="21">
        <f>T250+U250+V250*2+W250*3</f>
        <v>693</v>
      </c>
      <c r="AB250" s="54">
        <v>14</v>
      </c>
      <c r="AC250" s="21">
        <v>33</v>
      </c>
      <c r="AD250" s="21">
        <v>15</v>
      </c>
      <c r="AE250" s="9"/>
      <c r="AF250" s="37"/>
      <c r="AG250" s="37"/>
      <c r="AH250" s="37"/>
      <c r="AI250" s="37"/>
      <c r="AJ250" s="37"/>
      <c r="AK250" s="38"/>
      <c r="AL250" s="37"/>
      <c r="AM250" s="38"/>
    </row>
    <row r="251" spans="1:39" x14ac:dyDescent="0.2">
      <c r="A251" s="9"/>
      <c r="B251" s="3">
        <v>2001</v>
      </c>
      <c r="C251" s="124" t="s">
        <v>81</v>
      </c>
      <c r="D251" s="112" t="s">
        <v>19</v>
      </c>
      <c r="E251" s="121">
        <f>(T251-W251)/(R251-W251-Z251+AD251)</f>
        <v>0.26901590030081651</v>
      </c>
      <c r="F251" s="121">
        <f>AA251/Q251</f>
        <v>0.3398973624537534</v>
      </c>
      <c r="G251" s="121">
        <f>(U251+V251+W251)/T251</f>
        <v>0.24503968253968253</v>
      </c>
      <c r="H251" s="121">
        <f>(AA251+X251)/Q251</f>
        <v>0.44169948681226878</v>
      </c>
      <c r="I251" s="121">
        <f>(AA251/R251)+((T251+Y251+AB251)/(R251+Y251+AB251+AD251))</f>
        <v>0.66669218589192725</v>
      </c>
      <c r="J251" s="121">
        <f>W251/AA251</f>
        <v>4.8455056179775281E-2</v>
      </c>
      <c r="K251" s="121">
        <f>(AC251+AD251)/AA251</f>
        <v>5.5126404494382025E-2</v>
      </c>
      <c r="L251" s="121">
        <f>Z251/Q251</f>
        <v>8.425826470939253E-2</v>
      </c>
      <c r="M251" s="121">
        <f>(Y251+AB251)/Q251</f>
        <v>5.5734574531567015E-2</v>
      </c>
      <c r="N251" s="122">
        <f>(E251*0.7635+F251*0.7562+G251*0.75+H251*0.7248+I251*0.7021+J251*0.6285+1-K251*0.5884+1-L251*0.5276+M251*0.3663)/6.931</f>
        <v>0.49176319428984988</v>
      </c>
      <c r="O251" s="123">
        <f>N251/0.4973*100</f>
        <v>98.886626641835889</v>
      </c>
      <c r="P251" s="107">
        <f>(O251-100)/100*Q251*0.3389</f>
        <v>-31.615829742345461</v>
      </c>
      <c r="Q251" s="54">
        <v>8379</v>
      </c>
      <c r="R251" s="54">
        <f>Q251-Y251-AB251-AC251-AD251</f>
        <v>7755</v>
      </c>
      <c r="S251" s="20" t="s">
        <v>19</v>
      </c>
      <c r="T251" s="19">
        <v>2016</v>
      </c>
      <c r="U251" s="19">
        <v>294</v>
      </c>
      <c r="V251" s="19">
        <v>62</v>
      </c>
      <c r="W251" s="19">
        <v>138</v>
      </c>
      <c r="X251" s="19">
        <v>853</v>
      </c>
      <c r="Y251" s="54">
        <v>447</v>
      </c>
      <c r="Z251" s="19">
        <v>706</v>
      </c>
      <c r="AA251" s="54">
        <f>T251+U251+V251*2+W251*3</f>
        <v>2848</v>
      </c>
      <c r="AB251" s="19">
        <v>20</v>
      </c>
      <c r="AC251" s="19">
        <v>87</v>
      </c>
      <c r="AD251" s="19">
        <v>70</v>
      </c>
      <c r="AE251" s="9"/>
      <c r="AF251" s="37"/>
      <c r="AG251" s="37"/>
      <c r="AH251" s="37"/>
      <c r="AI251" s="37"/>
      <c r="AJ251" s="37"/>
      <c r="AK251" s="38"/>
      <c r="AL251" s="37"/>
      <c r="AM251" s="38"/>
    </row>
    <row r="252" spans="1:39" x14ac:dyDescent="0.2">
      <c r="A252" s="9"/>
      <c r="B252" s="3">
        <v>1948</v>
      </c>
      <c r="C252" s="124" t="s">
        <v>322</v>
      </c>
      <c r="D252" s="112">
        <v>0.77700000000000002</v>
      </c>
      <c r="E252" s="121">
        <f>(T252-W252)/(R252-W252-Z252+AD252)</f>
        <v>0.30161522469214774</v>
      </c>
      <c r="F252" s="121">
        <f>AA252/Q252</f>
        <v>0.34419929768766977</v>
      </c>
      <c r="G252" s="121">
        <f>(U252+V252+W252)/T252</f>
        <v>0.22230769230769232</v>
      </c>
      <c r="H252" s="121">
        <f>(AA252+S252)/Q252</f>
        <v>0.45676803816338701</v>
      </c>
      <c r="I252" s="121">
        <f>(AA252/R252)+((T252+Y252+AB252)/(R252+Y252+AB252+AD252))</f>
        <v>0.70561576785660429</v>
      </c>
      <c r="J252" s="121">
        <f>W252/AA252</f>
        <v>2.46390760346487E-2</v>
      </c>
      <c r="K252" s="121">
        <f>(AC252+AD252)/AA252</f>
        <v>7.6997112608277185E-2</v>
      </c>
      <c r="L252" s="121">
        <f>Z252/Q252</f>
        <v>8.1295965016895247E-2</v>
      </c>
      <c r="M252" s="121">
        <f>(Y252+AB252)/Q252</f>
        <v>6.3075597959318885E-2</v>
      </c>
      <c r="N252" s="122">
        <f>(1-E252*0.7635+1-F252*0.7562+1-G252*0.75+1-H252*0.7248+1-I252*0.7021+1-J252*0.6285+K252*0.5884+L252*0.5276+1-M252*0.3663)/11.068</f>
        <v>0.50287593011508547</v>
      </c>
      <c r="O252" s="123">
        <f>N252/0.5048*100</f>
        <v>99.618845109961455</v>
      </c>
      <c r="P252" s="107">
        <f>(O252-100)/100*Q252*0.6611</f>
        <v>-38.031567463630452</v>
      </c>
      <c r="Q252" s="54">
        <v>15093</v>
      </c>
      <c r="R252" s="21">
        <f>Q252-Y252-AB252-AC252-AD252</f>
        <v>13741</v>
      </c>
      <c r="S252" s="19">
        <v>1699</v>
      </c>
      <c r="T252" s="19">
        <v>3900</v>
      </c>
      <c r="U252" s="21">
        <v>567</v>
      </c>
      <c r="V252" s="21">
        <v>172</v>
      </c>
      <c r="W252" s="19">
        <v>128</v>
      </c>
      <c r="X252" s="20" t="s">
        <v>19</v>
      </c>
      <c r="Y252" s="54">
        <v>916</v>
      </c>
      <c r="Z252" s="19">
        <v>1227</v>
      </c>
      <c r="AA252" s="21">
        <f>T252+U252+V252*2+W252*3</f>
        <v>5195</v>
      </c>
      <c r="AB252" s="19">
        <v>36</v>
      </c>
      <c r="AC252" s="21">
        <v>280</v>
      </c>
      <c r="AD252" s="21">
        <v>120</v>
      </c>
      <c r="AE252" s="9"/>
      <c r="AF252" s="37"/>
      <c r="AG252" s="37"/>
      <c r="AH252" s="37"/>
      <c r="AI252" s="37"/>
      <c r="AJ252" s="37"/>
      <c r="AK252" s="38"/>
      <c r="AL252" s="37"/>
      <c r="AM252" s="38"/>
    </row>
    <row r="253" spans="1:39" x14ac:dyDescent="0.2">
      <c r="A253" s="9"/>
      <c r="B253" s="3">
        <v>1995</v>
      </c>
      <c r="C253" s="124" t="s">
        <v>102</v>
      </c>
      <c r="D253" s="112" t="s">
        <v>19</v>
      </c>
      <c r="E253" s="121">
        <f>(T253-W253)/(R253-W253-Z253+AD253)</f>
        <v>0.32695272353545735</v>
      </c>
      <c r="F253" s="121">
        <f>AA253/Q253</f>
        <v>0.32823251514840301</v>
      </c>
      <c r="G253" s="121">
        <f>(U253+V253+W253)/T253</f>
        <v>0.17676767676767677</v>
      </c>
      <c r="H253" s="121">
        <f>(AA253+X253)/Q253</f>
        <v>0.38841532299476222</v>
      </c>
      <c r="I253" s="121">
        <f>(AA253/R253)+((T253+Y253+AB253)/(R253+Y253+AB253+AD253))</f>
        <v>0.77985295721796799</v>
      </c>
      <c r="J253" s="121">
        <f>W253/AA253</f>
        <v>9.0738423028785976E-3</v>
      </c>
      <c r="K253" s="121">
        <f>(AC253+AD253)/AA253</f>
        <v>5.0688360450563207E-2</v>
      </c>
      <c r="L253" s="121">
        <f>Z253/Q253</f>
        <v>5.8642292287152099E-2</v>
      </c>
      <c r="M253" s="121">
        <f>(Y253+AB253)/Q253</f>
        <v>0.12745198726507137</v>
      </c>
      <c r="N253" s="122">
        <f>(E253*0.7635+F253*0.7562+G253*0.75+H253*0.7248+I253*0.7021+J253*0.6285+1-K253*0.5884+1-L253*0.5276+M253*0.3663)/6.931</f>
        <v>0.49792174945063949</v>
      </c>
      <c r="O253" s="123">
        <f>N253/0.505*100</f>
        <v>98.598366227849397</v>
      </c>
      <c r="P253" s="107">
        <f>(O253-100)/100*Q253*0.3389</f>
        <v>-46.252082545629712</v>
      </c>
      <c r="Q253" s="54">
        <v>9737</v>
      </c>
      <c r="R253" s="21">
        <f>Q253-Y253-AB253-AC253-AD253</f>
        <v>8334</v>
      </c>
      <c r="S253" s="20" t="s">
        <v>19</v>
      </c>
      <c r="T253" s="19">
        <v>2574</v>
      </c>
      <c r="U253" s="19">
        <v>317</v>
      </c>
      <c r="V253" s="19">
        <v>109</v>
      </c>
      <c r="W253" s="19">
        <v>29</v>
      </c>
      <c r="X253" s="19">
        <v>586</v>
      </c>
      <c r="Y253" s="54">
        <v>1198</v>
      </c>
      <c r="Z253" s="19">
        <v>571</v>
      </c>
      <c r="AA253" s="54">
        <f>T253+U253+V253*2+W253*3</f>
        <v>3196</v>
      </c>
      <c r="AB253" s="19">
        <v>43</v>
      </c>
      <c r="AC253" s="19">
        <v>112</v>
      </c>
      <c r="AD253" s="21">
        <v>50</v>
      </c>
      <c r="AE253" s="9"/>
      <c r="AF253" s="37"/>
      <c r="AG253" s="37"/>
      <c r="AH253" s="37"/>
      <c r="AI253" s="37"/>
      <c r="AJ253" s="37"/>
      <c r="AK253" s="38"/>
      <c r="AL253" s="37"/>
      <c r="AM253" s="38"/>
    </row>
    <row r="254" spans="1:39" x14ac:dyDescent="0.2">
      <c r="A254" s="9"/>
      <c r="B254" s="3">
        <v>1971</v>
      </c>
      <c r="C254" s="124" t="s">
        <v>177</v>
      </c>
      <c r="D254" s="112" t="s">
        <v>19</v>
      </c>
      <c r="E254" s="121">
        <f>(T254-W254)/(R254-W254-Z254+AD254)</f>
        <v>0.29569650622282201</v>
      </c>
      <c r="F254" s="121">
        <f>AA254/Q254</f>
        <v>0.312</v>
      </c>
      <c r="G254" s="121">
        <f>(U254+V254+W254)/T254</f>
        <v>0.21407185628742514</v>
      </c>
      <c r="H254" s="121">
        <f>(AA254+X254)/Q254</f>
        <v>0.38363636363636361</v>
      </c>
      <c r="I254" s="121">
        <f>(AA254/R254)+((T254+Y254+AB254)/(R254+Y254+AB254+AD254))</f>
        <v>0.71647878139075283</v>
      </c>
      <c r="J254" s="121">
        <f>W254/AA254</f>
        <v>1.2432012432012432E-2</v>
      </c>
      <c r="K254" s="121">
        <f>(AC254+AD254)/AA254</f>
        <v>0.108003108003108</v>
      </c>
      <c r="L254" s="121">
        <f>Z254/Q254</f>
        <v>5.903030303030303E-2</v>
      </c>
      <c r="M254" s="121">
        <f>(Y254+AB254)/Q254</f>
        <v>0.10303030303030303</v>
      </c>
      <c r="N254" s="122">
        <f>(E254*0.7635+F254*0.7562+G254*0.75+H254*0.7248+I254*0.7021+J254*0.6285+1-K254*0.5884+1-L254*0.5276+M254*0.3663)/6.931</f>
        <v>0.48394345212530376</v>
      </c>
      <c r="O254" s="123">
        <f>N254/0.4924*100</f>
        <v>98.282585728128296</v>
      </c>
      <c r="P254" s="107">
        <f>(O254-100)/100*Q254*0.3389</f>
        <v>-48.017614980828931</v>
      </c>
      <c r="Q254" s="54">
        <v>8250</v>
      </c>
      <c r="R254" s="21">
        <f>Q254-Y254-AB254-AC254-AD254</f>
        <v>7122</v>
      </c>
      <c r="S254" s="20" t="s">
        <v>19</v>
      </c>
      <c r="T254" s="19">
        <v>2004</v>
      </c>
      <c r="U254" s="19">
        <v>320</v>
      </c>
      <c r="V254" s="19">
        <v>77</v>
      </c>
      <c r="W254" s="19">
        <v>32</v>
      </c>
      <c r="X254" s="19">
        <v>591</v>
      </c>
      <c r="Y254" s="54">
        <v>827</v>
      </c>
      <c r="Z254" s="19">
        <v>487</v>
      </c>
      <c r="AA254" s="54">
        <f>T254+U254+V254*2+W254*3</f>
        <v>2574</v>
      </c>
      <c r="AB254" s="19">
        <v>23</v>
      </c>
      <c r="AC254" s="19">
        <v>212</v>
      </c>
      <c r="AD254" s="21">
        <v>66</v>
      </c>
      <c r="AE254" s="9"/>
      <c r="AF254" s="37"/>
      <c r="AG254" s="37"/>
      <c r="AH254" s="37"/>
      <c r="AI254" s="37"/>
      <c r="AJ254" s="37"/>
      <c r="AK254" s="38"/>
      <c r="AL254" s="37"/>
      <c r="AM254" s="38"/>
    </row>
    <row r="255" spans="1:39" x14ac:dyDescent="0.2">
      <c r="A255" s="9"/>
      <c r="B255" s="3">
        <v>1991</v>
      </c>
      <c r="C255" s="124" t="s">
        <v>321</v>
      </c>
      <c r="D255" s="112">
        <v>0.754</v>
      </c>
      <c r="E255" s="121">
        <f>(T255-W255)/(R255-W255-Z255+AD255)</f>
        <v>0.27154628461138741</v>
      </c>
      <c r="F255" s="121">
        <f>AA255/Q255</f>
        <v>0.35448815474896761</v>
      </c>
      <c r="G255" s="121">
        <f>(U255+V255+W255)/T255</f>
        <v>0.31747947851279573</v>
      </c>
      <c r="H255" s="121">
        <f>(AA255+S255)/Q255</f>
        <v>0.45517278852423387</v>
      </c>
      <c r="I255" s="121">
        <f>(AA255/R255)+((T255+Y255+AB255)/(R255+Y255+AB255+AD255))</f>
        <v>0.669783391845993</v>
      </c>
      <c r="J255" s="121">
        <f>W255/AA255</f>
        <v>7.4187614960147155E-2</v>
      </c>
      <c r="K255" s="121">
        <f>(AC255+AD255)/AA255</f>
        <v>4.5984058859595341E-2</v>
      </c>
      <c r="L255" s="121">
        <f>Z255/Q255</f>
        <v>0.17344055640078243</v>
      </c>
      <c r="M255" s="121">
        <f>(Y255+AB255)/Q255</f>
        <v>5.8737231036731147E-2</v>
      </c>
      <c r="N255" s="122">
        <f>(1-E255*0.7635+1-F255*0.7562+1-G255*0.75+1-H255*0.7248+1-I255*0.7021+1-J255*0.6285+K255*0.5884+L255*0.5276+1-M255*0.3663)/11.068</f>
        <v>0.50024924084882871</v>
      </c>
      <c r="O255" s="123">
        <f>N255/0.5027*100</f>
        <v>99.512480773588365</v>
      </c>
      <c r="P255" s="107">
        <f>(O255-100)/100*Q255*0.6611</f>
        <v>-59.315900705277912</v>
      </c>
      <c r="Q255" s="54">
        <v>18404</v>
      </c>
      <c r="R255" s="54">
        <f>Q255-Y255-AB255-AC255-AD255</f>
        <v>17023</v>
      </c>
      <c r="S255" s="19">
        <v>1853</v>
      </c>
      <c r="T255" s="19">
        <v>4142</v>
      </c>
      <c r="U255" s="19">
        <v>732</v>
      </c>
      <c r="V255" s="19">
        <v>99</v>
      </c>
      <c r="W255" s="19">
        <v>484</v>
      </c>
      <c r="X255" s="19" t="s">
        <v>19</v>
      </c>
      <c r="Y255" s="54">
        <v>997</v>
      </c>
      <c r="Z255" s="19">
        <v>3192</v>
      </c>
      <c r="AA255" s="54">
        <f>T255+U255+V255*2+W255*3</f>
        <v>6524</v>
      </c>
      <c r="AB255" s="19">
        <v>84</v>
      </c>
      <c r="AC255" s="19">
        <v>176</v>
      </c>
      <c r="AD255" s="19">
        <v>124</v>
      </c>
      <c r="AE255" s="9"/>
      <c r="AF255" s="37"/>
      <c r="AG255" s="37"/>
      <c r="AH255" s="37"/>
      <c r="AI255" s="37"/>
      <c r="AJ255" s="37"/>
      <c r="AK255" s="38"/>
      <c r="AL255" s="37"/>
      <c r="AM255" s="38"/>
    </row>
    <row r="256" spans="1:39" x14ac:dyDescent="0.2">
      <c r="A256" s="9"/>
      <c r="B256" s="3">
        <v>1994</v>
      </c>
      <c r="C256" s="124" t="s">
        <v>105</v>
      </c>
      <c r="D256" s="112" t="s">
        <v>19</v>
      </c>
      <c r="E256" s="121">
        <f>(T256-W256)/(R256-W256-Z256+AD256)</f>
        <v>0.28756957328385901</v>
      </c>
      <c r="F256" s="121">
        <f>AA256/Q256</f>
        <v>0.30733740139901772</v>
      </c>
      <c r="G256" s="121">
        <f>(U256+V256+W256)/T256</f>
        <v>0.21347607052896725</v>
      </c>
      <c r="H256" s="121">
        <f>(AA256+X256)/Q256</f>
        <v>0.3911296323857717</v>
      </c>
      <c r="I256" s="121">
        <f>(AA256/R256)+((T256+Y256+AB256)/(R256+Y256+AB256+AD256))</f>
        <v>0.70823529574117794</v>
      </c>
      <c r="J256" s="121">
        <f>W256/AA256</f>
        <v>1.8401937046004842E-2</v>
      </c>
      <c r="K256" s="121">
        <f>(AC256+AD256)/AA256</f>
        <v>0.11864406779661017</v>
      </c>
      <c r="L256" s="121">
        <f>Z256/Q256</f>
        <v>5.9235005209108502E-2</v>
      </c>
      <c r="M256" s="121">
        <f>(Y256+AB256)/Q256</f>
        <v>0.10418216996576872</v>
      </c>
      <c r="N256" s="122">
        <f>(E256*0.7635+F256*0.7562+G256*0.75+H256*0.7248+I256*0.7021+J256*0.6285+1-K256*0.5884+1-L256*0.5276+M256*0.3663)/6.931</f>
        <v>0.48210686939575825</v>
      </c>
      <c r="O256" s="123">
        <f>N256/0.5008*100</f>
        <v>96.267346125351082</v>
      </c>
      <c r="P256" s="107">
        <f>(O256-100)/100*Q256*0.3389</f>
        <v>-84.995107989583232</v>
      </c>
      <c r="Q256" s="54">
        <v>6719</v>
      </c>
      <c r="R256" s="21">
        <f>Q256-Y256-AB256-AC256-AD256</f>
        <v>5774</v>
      </c>
      <c r="S256" s="20" t="s">
        <v>19</v>
      </c>
      <c r="T256" s="19">
        <v>1588</v>
      </c>
      <c r="U256" s="19">
        <v>239</v>
      </c>
      <c r="V256" s="19">
        <v>62</v>
      </c>
      <c r="W256" s="19">
        <v>38</v>
      </c>
      <c r="X256" s="19">
        <v>563</v>
      </c>
      <c r="Y256" s="54">
        <v>651</v>
      </c>
      <c r="Z256" s="19">
        <v>398</v>
      </c>
      <c r="AA256" s="54">
        <f>T256+U256+V256*2+W256*3</f>
        <v>2065</v>
      </c>
      <c r="AB256" s="19">
        <v>49</v>
      </c>
      <c r="AC256" s="19">
        <v>193</v>
      </c>
      <c r="AD256" s="21">
        <v>52</v>
      </c>
      <c r="AE256" s="9"/>
      <c r="AF256" s="37"/>
      <c r="AG256" s="37"/>
      <c r="AH256" s="37"/>
      <c r="AI256" s="37"/>
      <c r="AJ256" s="37"/>
      <c r="AK256" s="38"/>
      <c r="AL256" s="37"/>
      <c r="AM256" s="38"/>
    </row>
    <row r="257" spans="1:68" x14ac:dyDescent="0.2">
      <c r="A257" s="9"/>
      <c r="B257" s="3">
        <v>1953</v>
      </c>
      <c r="C257" s="124" t="s">
        <v>228</v>
      </c>
      <c r="D257" s="112" t="s">
        <v>19</v>
      </c>
      <c r="E257" s="121">
        <f>(T257-W257)/(R257-W257-Z257+AD257)</f>
        <v>0.28306582057981833</v>
      </c>
      <c r="F257" s="121">
        <f>AA257/Q257</f>
        <v>0.32083116883116886</v>
      </c>
      <c r="G257" s="121">
        <f>(U257+V257+W257)/T257</f>
        <v>0.24599393676916415</v>
      </c>
      <c r="H257" s="121">
        <f>(AA257+X257)/Q257</f>
        <v>0.4372987012987013</v>
      </c>
      <c r="I257" s="121">
        <f>(AA257/R257)+((T257+Y257+AB257)/(R257+Y257+AB257+AD257))</f>
        <v>0.6921897561489464</v>
      </c>
      <c r="J257" s="121">
        <f>W257/AA257</f>
        <v>1.1010362694300517E-2</v>
      </c>
      <c r="K257" s="121">
        <f>(AC257+AD257)/AA257</f>
        <v>8.1282383419689117E-2</v>
      </c>
      <c r="L257" s="121">
        <f>Z257/Q257</f>
        <v>5.8181818181818182E-2</v>
      </c>
      <c r="M257" s="121">
        <f>(Y257+AB257)/Q257</f>
        <v>8.5298701298701304E-2</v>
      </c>
      <c r="N257" s="122">
        <f>(E257*0.7635+F257*0.7562+G257*0.75+H257*0.7248+I257*0.7021+J257*0.6285+1-K257*0.5884+1-L257*0.5276+M257*0.3663)/6.931</f>
        <v>0.49138809818429929</v>
      </c>
      <c r="O257" s="123">
        <f>N257/0.5057*100</f>
        <v>97.169882970990557</v>
      </c>
      <c r="P257" s="107">
        <f>(O257-100)/100*Q257*0.3389</f>
        <v>-92.315941133887648</v>
      </c>
      <c r="Q257" s="54">
        <v>9625</v>
      </c>
      <c r="R257" s="21">
        <f>Q257-Y257-AB257-AC257-AD257</f>
        <v>8553</v>
      </c>
      <c r="S257" s="20" t="s">
        <v>19</v>
      </c>
      <c r="T257" s="19">
        <v>2309</v>
      </c>
      <c r="U257" s="19">
        <v>391</v>
      </c>
      <c r="V257" s="19">
        <v>143</v>
      </c>
      <c r="W257" s="19">
        <v>34</v>
      </c>
      <c r="X257" s="19">
        <v>1121</v>
      </c>
      <c r="Y257" s="54">
        <v>774</v>
      </c>
      <c r="Z257" s="19">
        <v>560</v>
      </c>
      <c r="AA257" s="54">
        <f>T257+U257+V257*2+W257*3</f>
        <v>3088</v>
      </c>
      <c r="AB257" s="19">
        <v>47</v>
      </c>
      <c r="AC257" s="19">
        <v>173</v>
      </c>
      <c r="AD257" s="21">
        <v>78</v>
      </c>
      <c r="AE257" s="9"/>
      <c r="AF257" s="37"/>
      <c r="AG257" s="37"/>
      <c r="AH257" s="37"/>
      <c r="AI257" s="37"/>
      <c r="AJ257" s="37"/>
      <c r="AK257" s="38"/>
      <c r="AL257" s="37"/>
      <c r="AM257" s="38"/>
    </row>
    <row r="258" spans="1:68" x14ac:dyDescent="0.2">
      <c r="A258" s="9"/>
      <c r="B258" s="3">
        <v>1946</v>
      </c>
      <c r="C258" s="124" t="s">
        <v>244</v>
      </c>
      <c r="D258" s="112" t="s">
        <v>19</v>
      </c>
      <c r="E258" s="121">
        <f>(T258-W258)/(R258-W258-Z258+AD258)</f>
        <v>0.28144224196855777</v>
      </c>
      <c r="F258" s="121">
        <f>AA258/Q258</f>
        <v>0.28367911479944674</v>
      </c>
      <c r="G258" s="121">
        <f>(U258+V258+W258)/T258</f>
        <v>0.17962628089210367</v>
      </c>
      <c r="H258" s="121">
        <f>(AA258+X258)/Q258</f>
        <v>0.35781466113416321</v>
      </c>
      <c r="I258" s="121">
        <f>(AA258/R258)+((T258+Y258+AB258)/(R258+Y258+AB258+AD258))</f>
        <v>0.69126248783537925</v>
      </c>
      <c r="J258" s="121">
        <f>W258/AA258</f>
        <v>5.8508044856167727E-3</v>
      </c>
      <c r="K258" s="121">
        <f>(AC258+AD258)/AA258</f>
        <v>0.15260848366650415</v>
      </c>
      <c r="L258" s="121">
        <f>Z258/Q258</f>
        <v>4.0525587828492395E-2</v>
      </c>
      <c r="M258" s="121">
        <f>(Y258+AB258)/Q258</f>
        <v>0.11300138312586445</v>
      </c>
      <c r="N258" s="122">
        <f>(E258*0.7635+F258*0.7562+G258*0.75+H258*0.7248+I258*0.7021+J258*0.6285+1-K258*0.5884+1-L258*0.5276+M258*0.3663)/6.931</f>
        <v>0.46785340837587719</v>
      </c>
      <c r="O258" s="123">
        <f>N258/0.4898*100</f>
        <v>95.519274882784231</v>
      </c>
      <c r="P258" s="107">
        <f>(O258-100)/100*Q258*0.3389</f>
        <v>-109.78883276282586</v>
      </c>
      <c r="Q258" s="54">
        <v>7230</v>
      </c>
      <c r="R258" s="21">
        <f>Q258-Y258-AB258-AC258-AD258</f>
        <v>6100</v>
      </c>
      <c r="S258" s="19" t="s">
        <v>19</v>
      </c>
      <c r="T258" s="19">
        <v>1659</v>
      </c>
      <c r="U258" s="19">
        <v>216</v>
      </c>
      <c r="V258" s="19">
        <v>70</v>
      </c>
      <c r="W258" s="19">
        <v>12</v>
      </c>
      <c r="X258" s="19">
        <v>536</v>
      </c>
      <c r="Y258" s="54">
        <v>778</v>
      </c>
      <c r="Z258" s="19">
        <v>293</v>
      </c>
      <c r="AA258" s="54">
        <f>T258+U258+V258*2+W258*3</f>
        <v>2051</v>
      </c>
      <c r="AB258" s="19">
        <v>39</v>
      </c>
      <c r="AC258" s="19">
        <v>256</v>
      </c>
      <c r="AD258" s="21">
        <v>57</v>
      </c>
      <c r="AE258" s="9"/>
      <c r="AF258" s="37"/>
      <c r="AG258" s="37"/>
      <c r="AH258" s="37"/>
      <c r="AI258" s="37"/>
      <c r="AJ258" s="37"/>
      <c r="AK258" s="38"/>
      <c r="AL258" s="37"/>
      <c r="AM258" s="38"/>
    </row>
    <row r="259" spans="1:68" x14ac:dyDescent="0.2">
      <c r="A259" s="9"/>
      <c r="B259" s="3">
        <v>1997</v>
      </c>
      <c r="C259" s="124" t="s">
        <v>97</v>
      </c>
      <c r="D259" s="112" t="s">
        <v>19</v>
      </c>
      <c r="E259" s="121">
        <f>(T259-W259)/(R259-W259-Z259+AD259)</f>
        <v>0.29099767467611559</v>
      </c>
      <c r="F259" s="121">
        <f>AA259/Q259</f>
        <v>0.3233504009274466</v>
      </c>
      <c r="G259" s="121">
        <f>(U259+V259+W259)/T259</f>
        <v>0.18850920015020653</v>
      </c>
      <c r="H259" s="121">
        <f>(AA259+X259)/Q259</f>
        <v>0.39967152932083855</v>
      </c>
      <c r="I259" s="121">
        <f>(AA259/R259)+((T259+Y259+AB259)/(R259+Y259+AB259+AD259))</f>
        <v>0.71080161014825949</v>
      </c>
      <c r="J259" s="121">
        <f>W259/AA259</f>
        <v>1.0457125784284434E-2</v>
      </c>
      <c r="K259" s="121">
        <f>(AC259+AD259)/AA259</f>
        <v>8.3358231251867337E-2</v>
      </c>
      <c r="L259" s="121">
        <f>Z259/Q259</f>
        <v>2.0867549029079314E-2</v>
      </c>
      <c r="M259" s="121">
        <f>(Y259+AB259)/Q259</f>
        <v>8.3180369046468944E-2</v>
      </c>
      <c r="N259" s="122">
        <f>(E259*0.7635+F259*0.7562+G259*0.75+H259*0.7248+I259*0.7021+J259*0.6285+1-K259*0.5884+1-L259*0.5276+M259*0.3663)/6.931</f>
        <v>0.48676893715868474</v>
      </c>
      <c r="O259" s="123">
        <f>N259/0.503*100</f>
        <v>96.773148540493978</v>
      </c>
      <c r="P259" s="107">
        <f>(O259-100)/100*Q259*0.3389</f>
        <v>-113.19646162094841</v>
      </c>
      <c r="Q259" s="54">
        <v>10351</v>
      </c>
      <c r="R259" s="21">
        <f>Q259-Y259-AB259-AC259-AD259</f>
        <v>9211</v>
      </c>
      <c r="S259" s="20" t="s">
        <v>19</v>
      </c>
      <c r="T259" s="19">
        <v>2663</v>
      </c>
      <c r="U259" s="19">
        <v>355</v>
      </c>
      <c r="V259" s="19">
        <v>112</v>
      </c>
      <c r="W259" s="19">
        <v>35</v>
      </c>
      <c r="X259" s="19">
        <v>790</v>
      </c>
      <c r="Y259" s="54">
        <v>719</v>
      </c>
      <c r="Z259" s="19">
        <v>216</v>
      </c>
      <c r="AA259" s="54">
        <f>T259+U259+V259*2+W259*3</f>
        <v>3347</v>
      </c>
      <c r="AB259" s="19">
        <v>142</v>
      </c>
      <c r="AC259" s="19">
        <v>208</v>
      </c>
      <c r="AD259" s="21">
        <v>71</v>
      </c>
      <c r="AE259" s="9"/>
      <c r="AF259" s="37"/>
      <c r="AG259" s="37"/>
      <c r="AH259" s="37"/>
      <c r="AI259" s="37"/>
      <c r="AJ259" s="37"/>
      <c r="AK259" s="38"/>
      <c r="AL259" s="37"/>
      <c r="AM259" s="38"/>
    </row>
    <row r="260" spans="1:68" x14ac:dyDescent="0.2">
      <c r="A260" s="9"/>
      <c r="B260" s="3">
        <v>1965</v>
      </c>
      <c r="C260" s="124" t="s">
        <v>323</v>
      </c>
      <c r="D260" s="112" t="s">
        <v>19</v>
      </c>
      <c r="E260" s="121">
        <f>(T260-W260)/(R260-W260-Z260+AD260)</f>
        <v>0.28519560678950712</v>
      </c>
      <c r="F260" s="121">
        <f>AA260/Q260</f>
        <v>0.33004131418453669</v>
      </c>
      <c r="G260" s="121">
        <f>(U260+V260+W260)/T260</f>
        <v>0.2157689305230289</v>
      </c>
      <c r="H260" s="121">
        <f>(AA260+S260)/Q260</f>
        <v>0.4619319299626205</v>
      </c>
      <c r="I260" s="121">
        <f>(AA260/R260)+((T260+Y260+AB260)/(R260+Y260+AB260+AD260))</f>
        <v>0.64764249812727892</v>
      </c>
      <c r="J260" s="121">
        <f>W260/AA260</f>
        <v>1.4425369575584168E-2</v>
      </c>
      <c r="K260" s="121">
        <f>(AC260+AD260)/AA260</f>
        <v>8.5598474010491171E-2</v>
      </c>
      <c r="L260" s="121">
        <f>Z260/Q260</f>
        <v>7.1099744245524302E-2</v>
      </c>
      <c r="M260" s="234">
        <f>(Y260+AB260)/Q260</f>
        <v>3.6631910289199293E-2</v>
      </c>
      <c r="N260" s="122">
        <f>(1-E260*0.7635+1-F260*0.7562+1-G260*0.75+1-H260*0.7248+1-I260*0.7021+1-J260*0.6285+K260*0.5884+L260*0.5276+1-M260*0.3663)/11.068</f>
        <v>0.51018475853090406</v>
      </c>
      <c r="O260" s="123">
        <f>N260/0.5139*100</f>
        <v>99.277049723857573</v>
      </c>
      <c r="P260" s="107">
        <f>(O260-100)/100*Q260*0.6611</f>
        <v>-121.46906796380435</v>
      </c>
      <c r="Q260" s="54">
        <v>25415</v>
      </c>
      <c r="R260" s="21">
        <f>Q260-Y260-AB260-AC260-AD260</f>
        <v>23766</v>
      </c>
      <c r="S260" s="19">
        <v>3352</v>
      </c>
      <c r="T260" s="19">
        <v>6405</v>
      </c>
      <c r="U260" s="21">
        <v>902</v>
      </c>
      <c r="V260" s="21">
        <v>359</v>
      </c>
      <c r="W260" s="19">
        <v>121</v>
      </c>
      <c r="X260" s="20" t="s">
        <v>19</v>
      </c>
      <c r="Y260" s="54">
        <v>745</v>
      </c>
      <c r="Z260" s="19">
        <v>1807</v>
      </c>
      <c r="AA260" s="21">
        <f>T260+U260+V260*2+W260*3</f>
        <v>8388</v>
      </c>
      <c r="AB260" s="21">
        <v>186</v>
      </c>
      <c r="AC260" s="21">
        <v>522</v>
      </c>
      <c r="AD260" s="21">
        <v>196</v>
      </c>
      <c r="AE260" s="9"/>
      <c r="AF260" s="37"/>
      <c r="AG260" s="37"/>
      <c r="AH260" s="37"/>
      <c r="AI260" s="37"/>
      <c r="AJ260" s="37"/>
      <c r="AK260" s="38"/>
      <c r="AL260" s="37"/>
      <c r="AM260" s="38"/>
    </row>
    <row r="261" spans="1:68" x14ac:dyDescent="0.2">
      <c r="A261" s="9"/>
      <c r="B261" s="3">
        <v>1954</v>
      </c>
      <c r="C261" s="124" t="s">
        <v>222</v>
      </c>
      <c r="D261" s="112">
        <v>0.82899999999999996</v>
      </c>
      <c r="E261" s="121">
        <f>(T261-W261)/(R261-W261-Z261+AD261)</f>
        <v>0.27715637771563778</v>
      </c>
      <c r="F261" s="121">
        <f>AA261/Q261</f>
        <v>0.30399644760213146</v>
      </c>
      <c r="G261" s="121">
        <f>(U261+V261+W261)/T261</f>
        <v>0.22456813819577734</v>
      </c>
      <c r="H261" s="121">
        <f>(AA261+X261)/Q261</f>
        <v>0.38250444049733573</v>
      </c>
      <c r="I261" s="121">
        <f>(AA261/R261)+((T261+Y261+AB261)/(R261+Y261+AB261+AD261))</f>
        <v>0.66033174864741084</v>
      </c>
      <c r="J261" s="121">
        <f>W261/AA261</f>
        <v>8.1799591002044997E-3</v>
      </c>
      <c r="K261" s="121">
        <f>(AC261+AD261)/AA261</f>
        <v>0.11364300321355536</v>
      </c>
      <c r="L261" s="121">
        <f>Z261/Q261</f>
        <v>6.7140319715808167E-2</v>
      </c>
      <c r="M261" s="121">
        <f>(Y261+AB261)/Q261</f>
        <v>7.797513321492007E-2</v>
      </c>
      <c r="N261" s="122">
        <f>(E261*0.7635+F261*0.7562+G261*0.75+H261*0.7248+I261*0.7021+J261*0.6285+1-K261*0.5884+1-L261*0.5276+M261*0.3663)/6.931</f>
        <v>0.47355184976561204</v>
      </c>
      <c r="O261" s="123">
        <f>N261/0.4917*100</f>
        <v>96.309101030224127</v>
      </c>
      <c r="P261" s="107">
        <f>(O261-100)/100*Q261*0.3389</f>
        <v>-140.84522141250307</v>
      </c>
      <c r="Q261" s="54">
        <v>11260</v>
      </c>
      <c r="R261" s="21">
        <f>Q261-Y261-AB261-AC261-AD261</f>
        <v>9993</v>
      </c>
      <c r="S261" s="20" t="s">
        <v>19</v>
      </c>
      <c r="T261" s="19">
        <v>2605</v>
      </c>
      <c r="U261" s="19">
        <v>380</v>
      </c>
      <c r="V261" s="19">
        <v>177</v>
      </c>
      <c r="W261" s="19">
        <v>28</v>
      </c>
      <c r="X261" s="19">
        <v>884</v>
      </c>
      <c r="Y261" s="54">
        <v>839</v>
      </c>
      <c r="Z261" s="19">
        <v>756</v>
      </c>
      <c r="AA261" s="54">
        <f>T261+U261+V261*2+W261*3</f>
        <v>3423</v>
      </c>
      <c r="AB261" s="19">
        <v>39</v>
      </c>
      <c r="AC261" s="19">
        <v>300</v>
      </c>
      <c r="AD261" s="21">
        <v>89</v>
      </c>
      <c r="AE261" s="9"/>
      <c r="AF261" s="37"/>
      <c r="AG261" s="37"/>
      <c r="AH261" s="37"/>
      <c r="AI261" s="37"/>
      <c r="AJ261" s="37"/>
      <c r="AK261" s="38"/>
      <c r="AL261" s="37"/>
      <c r="AM261" s="38"/>
    </row>
    <row r="262" spans="1:68" x14ac:dyDescent="0.2">
      <c r="A262" s="9"/>
      <c r="B262" s="3">
        <v>1984</v>
      </c>
      <c r="C262" s="124" t="s">
        <v>128</v>
      </c>
      <c r="D262" s="112">
        <v>0.84599999999999997</v>
      </c>
      <c r="E262" s="121">
        <f>(T262-W262)/(R262-W262-Z262+AD262)</f>
        <v>0.27357097658721791</v>
      </c>
      <c r="F262" s="121">
        <f>AA262/Q262</f>
        <v>0.31199358917282521</v>
      </c>
      <c r="G262" s="121">
        <f>(U262+V262+W262)/T262</f>
        <v>0.21255136346656706</v>
      </c>
      <c r="H262" s="121">
        <f>(AA262+X262)/Q262</f>
        <v>0.38242364882913366</v>
      </c>
      <c r="I262" s="121">
        <f>(AA262/R262)+((T262+Y262+AB262)/(R262+Y262+AB262+AD262))</f>
        <v>0.65323828946105578</v>
      </c>
      <c r="J262" s="121">
        <f>W262/AA262</f>
        <v>2.3687214611872145E-2</v>
      </c>
      <c r="K262" s="121">
        <f>(AC262+AD262)/AA262</f>
        <v>6.763698630136987E-2</v>
      </c>
      <c r="L262" s="121">
        <f>Z262/Q262</f>
        <v>6.6067135606802593E-2</v>
      </c>
      <c r="M262" s="121">
        <f>(Y262+AB262)/Q262</f>
        <v>6.7936960199447963E-2</v>
      </c>
      <c r="N262" s="122">
        <f>(E262*0.7635+F262*0.7562+G262*0.75+H262*0.7248+I262*0.7021+J262*0.6285+1-K262*0.5884+1-L262*0.5276+M262*0.3663)/6.931</f>
        <v>0.47686508129814803</v>
      </c>
      <c r="O262" s="123">
        <f>N262/0.4973*100</f>
        <v>95.890826723938872</v>
      </c>
      <c r="P262" s="107">
        <f>(O262-100)/100*Q262*0.3389</f>
        <v>-156.40277384000672</v>
      </c>
      <c r="Q262" s="54">
        <v>11231</v>
      </c>
      <c r="R262" s="54">
        <f>Q262-Y262-AB262-AC262-AD262</f>
        <v>10231</v>
      </c>
      <c r="S262" s="20" t="s">
        <v>19</v>
      </c>
      <c r="T262" s="19">
        <v>2677</v>
      </c>
      <c r="U262" s="19">
        <v>394</v>
      </c>
      <c r="V262" s="19">
        <v>92</v>
      </c>
      <c r="W262" s="19">
        <v>83</v>
      </c>
      <c r="X262" s="19">
        <v>791</v>
      </c>
      <c r="Y262" s="54">
        <v>736</v>
      </c>
      <c r="Z262" s="19">
        <v>742</v>
      </c>
      <c r="AA262" s="54">
        <f>T262+U262+V262*2+W262*3</f>
        <v>3504</v>
      </c>
      <c r="AB262" s="19">
        <v>27</v>
      </c>
      <c r="AC262" s="19">
        <v>161</v>
      </c>
      <c r="AD262" s="19">
        <v>76</v>
      </c>
      <c r="AE262" s="9"/>
      <c r="AF262" s="37"/>
      <c r="AG262" s="37"/>
      <c r="AH262" s="37"/>
      <c r="AI262" s="37"/>
      <c r="AJ262" s="37"/>
      <c r="AK262" s="38"/>
      <c r="AL262" s="37"/>
      <c r="AM262" s="38"/>
    </row>
    <row r="263" spans="1:68" x14ac:dyDescent="0.2">
      <c r="A263" s="9"/>
      <c r="B263" s="3">
        <v>1955</v>
      </c>
      <c r="C263" s="124" t="s">
        <v>221</v>
      </c>
      <c r="D263" s="112" t="s">
        <v>19</v>
      </c>
      <c r="E263" s="121">
        <f>(T263-W263)/(R263-W263-Z263+AD263)</f>
        <v>0.2687348912167607</v>
      </c>
      <c r="F263" s="121">
        <f>AA263/Q263</f>
        <v>0.2682575272261371</v>
      </c>
      <c r="G263" s="121">
        <f>(U263+V263+W263)/T263</f>
        <v>0.19256505576208177</v>
      </c>
      <c r="H263" s="121">
        <f>(AA263+X263)/Q263</f>
        <v>0.3632286995515695</v>
      </c>
      <c r="I263" s="121">
        <f>(AA263/R263)+((T263+Y263+AB263)/(R263+Y263+AB263+AD263))</f>
        <v>0.65569483643678261</v>
      </c>
      <c r="J263" s="121">
        <f>W263/AA263</f>
        <v>6.5671641791044772E-3</v>
      </c>
      <c r="K263" s="121">
        <f>(AC263+AD263)/AA263</f>
        <v>0.15761194029850747</v>
      </c>
      <c r="L263" s="121">
        <f>Z263/Q263</f>
        <v>5.7335041639974375E-2</v>
      </c>
      <c r="M263" s="121">
        <f>(Y263+AB263)/Q263</f>
        <v>0.11162716207559256</v>
      </c>
      <c r="N263" s="122">
        <f>(E263*0.7635+F263*0.7562+G263*0.75+H263*0.7248+I263*0.7021+J263*0.6285+1-K263*0.5884+1-L263*0.5276+M263*0.3663)/6.931</f>
        <v>0.46142236155896266</v>
      </c>
      <c r="O263" s="123">
        <f>N263/0.4994*100</f>
        <v>92.39534672786597</v>
      </c>
      <c r="P263" s="107">
        <f>(O263-100)/100*Q263*0.3389</f>
        <v>-160.92142910075333</v>
      </c>
      <c r="Q263" s="54">
        <v>6244</v>
      </c>
      <c r="R263" s="21">
        <f>Q263-Y263-AB263-AC263-AD263</f>
        <v>5283</v>
      </c>
      <c r="S263" s="20" t="s">
        <v>19</v>
      </c>
      <c r="T263" s="19">
        <v>1345</v>
      </c>
      <c r="U263" s="19">
        <v>199</v>
      </c>
      <c r="V263" s="19">
        <v>49</v>
      </c>
      <c r="W263" s="19">
        <v>11</v>
      </c>
      <c r="X263" s="19">
        <v>593</v>
      </c>
      <c r="Y263" s="54">
        <v>638</v>
      </c>
      <c r="Z263" s="19">
        <v>358</v>
      </c>
      <c r="AA263" s="54">
        <f>T263+U263+V263*2+W263*3</f>
        <v>1675</v>
      </c>
      <c r="AB263" s="19">
        <v>59</v>
      </c>
      <c r="AC263" s="19">
        <v>214</v>
      </c>
      <c r="AD263" s="21">
        <v>50</v>
      </c>
      <c r="AE263" s="9"/>
      <c r="AF263" s="37"/>
      <c r="AG263" s="37"/>
      <c r="AH263" s="37"/>
      <c r="AI263" s="37"/>
      <c r="AJ263" s="37"/>
      <c r="AK263" s="38"/>
      <c r="AL263" s="37"/>
      <c r="AM263" s="38"/>
    </row>
    <row r="264" spans="1:68" x14ac:dyDescent="0.2">
      <c r="A264" s="9"/>
      <c r="B264" s="45">
        <v>2002</v>
      </c>
      <c r="C264" s="137" t="s">
        <v>78</v>
      </c>
      <c r="D264" s="139">
        <v>0.91700000000000004</v>
      </c>
      <c r="E264" s="125">
        <f>(T264-W264)/(R264-W264-Z264+AD264)</f>
        <v>0.27505089346301742</v>
      </c>
      <c r="F264" s="125">
        <f>AA264/Q264</f>
        <v>0.28613843013546114</v>
      </c>
      <c r="G264" s="125">
        <f>(U264+V264+W264)/T264</f>
        <v>0.20284552845528456</v>
      </c>
      <c r="H264" s="125">
        <f>(AA264+X264)/Q264</f>
        <v>0.35971423269623309</v>
      </c>
      <c r="I264" s="125">
        <f>(AA264/R264)+((T264+Y264+AB264)/(R264+Y264+AB264+AD264))</f>
        <v>0.66569164511101342</v>
      </c>
      <c r="J264" s="125">
        <f>W264/AA264</f>
        <v>9.0791180285343717E-3</v>
      </c>
      <c r="K264" s="125">
        <f>(AC264+AD264)/AA264</f>
        <v>8.9818417639429313E-2</v>
      </c>
      <c r="L264" s="125">
        <f>Z264/Q264</f>
        <v>5.4648357765819264E-2</v>
      </c>
      <c r="M264" s="125">
        <f>(Y264+AB264)/Q264</f>
        <v>0.10252365930599369</v>
      </c>
      <c r="N264" s="126">
        <f>(E264*0.7635+F264*0.7562+G264*0.75+H264*0.7248+I264*0.7021+J264*0.6285+1-K264*0.5884+1-L264*0.5276+M264*0.3663)/6.931</f>
        <v>0.47153302205280884</v>
      </c>
      <c r="O264" s="127">
        <f>N264/0.5062*100</f>
        <v>93.151525494430828</v>
      </c>
      <c r="P264" s="107">
        <f>(O264-100)/100*Q264*0.3389</f>
        <v>-250.15177651105213</v>
      </c>
      <c r="Q264" s="54">
        <v>10778</v>
      </c>
      <c r="R264" s="54">
        <f>Q264-Y264-AB264-AC264-AD264</f>
        <v>9396</v>
      </c>
      <c r="S264" s="140" t="s">
        <v>19</v>
      </c>
      <c r="T264" s="22">
        <v>2460</v>
      </c>
      <c r="U264" s="22">
        <v>402</v>
      </c>
      <c r="V264" s="22">
        <v>69</v>
      </c>
      <c r="W264" s="22">
        <v>28</v>
      </c>
      <c r="X264" s="22">
        <v>793</v>
      </c>
      <c r="Y264" s="54">
        <v>1072</v>
      </c>
      <c r="Z264" s="22">
        <v>589</v>
      </c>
      <c r="AA264" s="54">
        <f>T264+U264+V264*2+W264*3</f>
        <v>3084</v>
      </c>
      <c r="AB264" s="22">
        <v>33</v>
      </c>
      <c r="AC264" s="22">
        <v>214</v>
      </c>
      <c r="AD264" s="22">
        <v>63</v>
      </c>
      <c r="AE264" s="9"/>
      <c r="AF264" s="37"/>
      <c r="AG264" s="37"/>
      <c r="AH264" s="37"/>
      <c r="AI264" s="37"/>
      <c r="AJ264" s="37"/>
      <c r="AK264" s="38"/>
      <c r="AL264" s="37"/>
      <c r="AM264" s="38"/>
    </row>
    <row r="265" spans="1:68" x14ac:dyDescent="0.2">
      <c r="A265" s="9"/>
      <c r="B265" s="3">
        <v>1976</v>
      </c>
      <c r="C265" s="138" t="s">
        <v>324</v>
      </c>
      <c r="D265" s="112">
        <v>0.86899999999999999</v>
      </c>
      <c r="E265" s="121">
        <f>(T265-W265)/(R265-W265-Z265+AD265)</f>
        <v>0.26804733727810653</v>
      </c>
      <c r="F265" s="121">
        <f>AA265/Q265</f>
        <v>0.377171990427635</v>
      </c>
      <c r="G265" s="121">
        <f>(U265+V265+W265)/T265</f>
        <v>0.32474901789611521</v>
      </c>
      <c r="H265" s="121">
        <f>(AA265+S265)/Q265</f>
        <v>0.47924253459577565</v>
      </c>
      <c r="I265" s="121">
        <f>(AA265/R265)+((T265+Y265+AB265)/(R265+Y265+AB265+AD265))</f>
        <v>0.69460725872446838</v>
      </c>
      <c r="J265" s="121">
        <f>W265/AA265</f>
        <v>6.9655172413793098E-2</v>
      </c>
      <c r="K265" s="121">
        <f>(AC265+AD265)/AA265</f>
        <v>4.1517241379310343E-2</v>
      </c>
      <c r="L265" s="121">
        <f>Z265/Q265</f>
        <v>0.12261991468109458</v>
      </c>
      <c r="M265" s="121">
        <f>(Y265+AB265)/Q265</f>
        <v>4.9734679013630212E-2</v>
      </c>
      <c r="N265" s="122">
        <f>(1-E265*0.7635+1-F265*0.7562+1-G265*0.75+1-H265*0.7248+1-I265*0.7021+1-J265*0.6285+K265*0.5884+L265*0.5276+1-M265*0.3663)/11.068</f>
        <v>0.49319252014888015</v>
      </c>
      <c r="O265" s="123">
        <f>N265/0.5082*100</f>
        <v>97.046934307138955</v>
      </c>
      <c r="P265" s="107">
        <f>(O265-100)/100*Q265*0.6611</f>
        <v>-375.26567185418503</v>
      </c>
      <c r="Q265" s="54">
        <v>19222</v>
      </c>
      <c r="R265" s="21">
        <f>Q265-Y265-AB265-AC265-AD265</f>
        <v>17965</v>
      </c>
      <c r="S265" s="19">
        <v>1962</v>
      </c>
      <c r="T265" s="19">
        <v>4582</v>
      </c>
      <c r="U265" s="19">
        <v>813</v>
      </c>
      <c r="V265" s="19">
        <v>170</v>
      </c>
      <c r="W265" s="19">
        <v>505</v>
      </c>
      <c r="X265" s="20" t="s">
        <v>19</v>
      </c>
      <c r="Y265" s="54">
        <v>902</v>
      </c>
      <c r="Z265" s="19">
        <v>2357</v>
      </c>
      <c r="AA265" s="54">
        <f>T265+U265+V265*2+W265*3</f>
        <v>7250</v>
      </c>
      <c r="AB265" s="19">
        <v>54</v>
      </c>
      <c r="AC265" s="19">
        <v>194</v>
      </c>
      <c r="AD265" s="21">
        <v>107</v>
      </c>
      <c r="AE265" s="9"/>
      <c r="AF265" s="37"/>
      <c r="AG265" s="37"/>
      <c r="AH265" s="37"/>
      <c r="AI265" s="37"/>
      <c r="AJ265" s="37"/>
      <c r="AK265" s="38"/>
      <c r="AL265" s="37"/>
      <c r="AM265" s="38"/>
      <c r="BB265" s="28"/>
      <c r="BP265" s="28"/>
    </row>
    <row r="266" spans="1:68" s="28" customFormat="1" x14ac:dyDescent="0.2">
      <c r="A266" s="10"/>
      <c r="B266" s="11"/>
      <c r="C266" s="12"/>
      <c r="D266" s="13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66"/>
      <c r="P266" s="156"/>
      <c r="Q266" s="53"/>
      <c r="R266" s="55"/>
      <c r="S266" s="15"/>
      <c r="T266" s="15"/>
      <c r="U266" s="15"/>
      <c r="V266" s="15"/>
      <c r="W266" s="15"/>
      <c r="X266" s="15"/>
      <c r="Y266" s="53"/>
      <c r="Z266" s="15"/>
      <c r="AA266" s="53"/>
      <c r="AB266" s="15"/>
      <c r="AC266" s="14"/>
      <c r="AD266" s="14"/>
      <c r="AE266" s="10"/>
      <c r="AF266" s="36"/>
      <c r="AG266" s="36"/>
      <c r="AH266" s="36"/>
      <c r="AI266" s="36"/>
      <c r="AJ266" s="36"/>
      <c r="AK266" s="35"/>
      <c r="AL266" s="36"/>
      <c r="AM266" s="35"/>
      <c r="AO266" s="31"/>
      <c r="AP266" s="62"/>
      <c r="AQ266" s="62"/>
      <c r="AR266" s="62"/>
      <c r="AS266" s="62"/>
      <c r="AT266" s="62"/>
      <c r="AU266" s="62"/>
      <c r="AV266" s="62"/>
      <c r="AW266" s="62"/>
      <c r="AX266" s="62"/>
      <c r="AY266" s="62"/>
      <c r="AZ266" s="69"/>
      <c r="BA266" s="282"/>
      <c r="BB266" s="17"/>
      <c r="BC266" s="31"/>
      <c r="BD266" s="62"/>
      <c r="BE266" s="62"/>
      <c r="BF266" s="62"/>
      <c r="BG266" s="62"/>
      <c r="BH266" s="62"/>
      <c r="BI266" s="62"/>
      <c r="BJ266" s="62"/>
      <c r="BK266" s="62"/>
      <c r="BL266" s="62"/>
      <c r="BM266" s="62"/>
      <c r="BN266" s="69"/>
      <c r="BO266" s="282"/>
      <c r="BP266" s="17"/>
    </row>
    <row r="267" spans="1:68" x14ac:dyDescent="0.2">
      <c r="A267" s="9"/>
      <c r="B267" s="46" t="s">
        <v>283</v>
      </c>
      <c r="C267" s="48" t="s">
        <v>298</v>
      </c>
      <c r="D267" s="44" t="s">
        <v>283</v>
      </c>
      <c r="E267" s="73">
        <f>(T267-W267)/(R267-W267-Z267+AD267)</f>
        <v>0.28453581249181614</v>
      </c>
      <c r="F267" s="73">
        <f>AA267/Q267</f>
        <v>0.47405997144217038</v>
      </c>
      <c r="G267" s="73">
        <f>(U267+V267+W267)/T267</f>
        <v>0.49063032367972742</v>
      </c>
      <c r="H267" s="73">
        <f>(AA267+X267)/Q267</f>
        <v>0.63239727114072664</v>
      </c>
      <c r="I267" s="128">
        <f>(AA267/R267)+((T267+Y267+AB267)/(R267+Y267+AB267+AD267))</f>
        <v>1.0511799022102122</v>
      </c>
      <c r="J267" s="73">
        <f>W267/AA267</f>
        <v>0.12751004016064257</v>
      </c>
      <c r="K267" s="73">
        <f>(AC267+AD267)/AA267</f>
        <v>1.5896921017402945E-2</v>
      </c>
      <c r="L267" s="73">
        <f>Z267/Q267</f>
        <v>0.12208472156116135</v>
      </c>
      <c r="M267" s="128">
        <f>(Y267+AB267)/Q267</f>
        <v>0.21132793907663017</v>
      </c>
      <c r="N267" s="60">
        <f>(E267*0.7635+F267*0.7562+G267*0.75+H267*0.7248+I267*0.7021+J267*0.6285+1-K267*0.5884+1-L267*0.5276+M267*0.3663)/6.931</f>
        <v>0.60941837748793537</v>
      </c>
      <c r="O267" s="67">
        <f>N267/0.5163*100</f>
        <v>118.03571130891642</v>
      </c>
      <c r="P267" s="93">
        <f>(O267-100)/100*Q267*0.3389</f>
        <v>770.51686104031899</v>
      </c>
      <c r="Q267" s="24">
        <v>12606</v>
      </c>
      <c r="R267" s="24">
        <f>Q267-Y267-AB267-AC267-AD267</f>
        <v>9847</v>
      </c>
      <c r="S267" s="24" t="s">
        <v>19</v>
      </c>
      <c r="T267" s="24">
        <v>2935</v>
      </c>
      <c r="U267" s="24">
        <v>601</v>
      </c>
      <c r="V267" s="24">
        <v>77</v>
      </c>
      <c r="W267" s="24">
        <v>762</v>
      </c>
      <c r="X267" s="24">
        <v>1996</v>
      </c>
      <c r="Y267" s="24">
        <v>2558</v>
      </c>
      <c r="Z267" s="24">
        <v>1539</v>
      </c>
      <c r="AA267" s="24">
        <f>T267+U267+V267*2+W267*3</f>
        <v>5976</v>
      </c>
      <c r="AB267" s="24">
        <v>106</v>
      </c>
      <c r="AC267" s="24">
        <v>4</v>
      </c>
      <c r="AD267" s="24">
        <v>91</v>
      </c>
      <c r="AE267" s="9"/>
      <c r="AF267" s="37"/>
      <c r="AG267" s="37"/>
      <c r="AH267" s="37"/>
      <c r="AI267" s="37"/>
      <c r="AJ267" s="37"/>
      <c r="AK267" s="38"/>
      <c r="AL267" s="37"/>
      <c r="AM267" s="38"/>
    </row>
    <row r="268" spans="1:68" x14ac:dyDescent="0.2">
      <c r="A268" s="9"/>
      <c r="B268" s="46" t="s">
        <v>283</v>
      </c>
      <c r="C268" s="113" t="s">
        <v>296</v>
      </c>
      <c r="D268" s="114" t="s">
        <v>283</v>
      </c>
      <c r="E268" s="118">
        <f>(T268-W268)/(R268-W268-Z268+AD268)</f>
        <v>0.28635648460328161</v>
      </c>
      <c r="F268" s="118">
        <f>AA268/Q268</f>
        <v>0.30820158102766798</v>
      </c>
      <c r="G268" s="118">
        <f>(U268+V268+W268)/T268</f>
        <v>0.29701314217443248</v>
      </c>
      <c r="H268" s="118">
        <f>(AA268+S268)/Q268</f>
        <v>0.40133399209486165</v>
      </c>
      <c r="I268" s="118">
        <f>(AA268/R268)+((T268+Y268+AB268)/(R268+Y268+AB268+AD268))</f>
        <v>0.63568470004788769</v>
      </c>
      <c r="J268" s="118">
        <f>W268/AA268</f>
        <v>5.8191728117986535E-2</v>
      </c>
      <c r="K268" s="118">
        <f>(AC268+AD268)/AA268</f>
        <v>3.5588329592818213E-2</v>
      </c>
      <c r="L268" s="118">
        <f>Z268/Q268</f>
        <v>0.2308300395256917</v>
      </c>
      <c r="M268" s="118">
        <f>(Y268+AB268)/Q268</f>
        <v>8.5918972332015814E-2</v>
      </c>
      <c r="N268" s="119">
        <f>(1-E268*0.7635+1-F268*0.7562+1-G268*0.75+1-H268*0.7248+1-I268*0.7021+1-J268*0.6285+K268*0.5884+L268*0.5276+1-M268*0.3663)/11.068</f>
        <v>0.51165741847906276</v>
      </c>
      <c r="O268" s="120">
        <f>N268/0.4905*100</f>
        <v>104.31343903752554</v>
      </c>
      <c r="P268" s="133">
        <f>(O268-100)/100*Q268*0.6611</f>
        <v>577.16678445612649</v>
      </c>
      <c r="Q268" s="24">
        <v>20240</v>
      </c>
      <c r="R268" s="24">
        <f>Q268-Y268-AB268-AC268-AD268</f>
        <v>18279</v>
      </c>
      <c r="S268" s="24">
        <v>1885</v>
      </c>
      <c r="T268" s="24">
        <v>4185</v>
      </c>
      <c r="U268" s="24">
        <v>796</v>
      </c>
      <c r="V268" s="24">
        <v>84</v>
      </c>
      <c r="W268" s="24">
        <v>363</v>
      </c>
      <c r="X268" s="24" t="s">
        <v>19</v>
      </c>
      <c r="Y268" s="24">
        <v>1580</v>
      </c>
      <c r="Z268" s="24">
        <v>4672</v>
      </c>
      <c r="AA268" s="24">
        <f>T268+U268+V268*2+W268*3</f>
        <v>6238</v>
      </c>
      <c r="AB268" s="24">
        <v>159</v>
      </c>
      <c r="AC268" s="24">
        <v>119</v>
      </c>
      <c r="AD268" s="24">
        <v>103</v>
      </c>
      <c r="AE268" s="9"/>
      <c r="AF268" s="37"/>
      <c r="AG268" s="37"/>
      <c r="AH268" s="37"/>
      <c r="AI268" s="37"/>
      <c r="AJ268" s="37"/>
      <c r="AK268" s="38"/>
      <c r="AL268" s="37"/>
      <c r="AM268" s="38"/>
    </row>
    <row r="269" spans="1:68" x14ac:dyDescent="0.2">
      <c r="A269" s="9"/>
      <c r="B269" s="46" t="s">
        <v>283</v>
      </c>
      <c r="C269" s="49" t="s">
        <v>308</v>
      </c>
      <c r="D269" s="44" t="s">
        <v>283</v>
      </c>
      <c r="E269" s="74">
        <f>(T269-W269)/(R269-W269-Z269+AD269)</f>
        <v>0.28534059945504087</v>
      </c>
      <c r="F269" s="74">
        <f>AA269/Q269</f>
        <v>0.47640129654518143</v>
      </c>
      <c r="G269" s="74">
        <f>(U269+V269+W269)/T269</f>
        <v>0.41408621736490586</v>
      </c>
      <c r="H269" s="74">
        <f>(AA269+X269)/Q269</f>
        <v>0.64590086172819983</v>
      </c>
      <c r="I269" s="74">
        <f>(AA269/R269)+((T269+Y269+AB269)/(R269+Y269+AB269+AD269))</f>
        <v>0.91948449434260338</v>
      </c>
      <c r="J269" s="74">
        <f>W269/AA269</f>
        <v>0.1121805509459011</v>
      </c>
      <c r="K269" s="74">
        <f>(AC269+AD269)/AA269</f>
        <v>1.9415864586790576E-2</v>
      </c>
      <c r="L269" s="74">
        <f>Z269/Q269</f>
        <v>0.10609534350541545</v>
      </c>
      <c r="M269" s="74">
        <f>(Y269+AB269)/Q269</f>
        <v>0.11502885603605029</v>
      </c>
      <c r="N269" s="61">
        <f>(E269*0.7635+F269*0.7562+G269*0.75+H269*0.7248+I269*0.7021+J269*0.6285+1-K269*0.5884+1-L269*0.5276+M269*0.3663)/6.931</f>
        <v>0.58399022182842153</v>
      </c>
      <c r="O269" s="68">
        <f>N269/0.5183*100</f>
        <v>112.67416975273423</v>
      </c>
      <c r="P269" s="93">
        <f>(O269-100)/100*Q269*0.3389</f>
        <v>543.30947758271418</v>
      </c>
      <c r="Q269" s="24">
        <v>12649</v>
      </c>
      <c r="R269" s="24">
        <f>Q269-Y269-AB269-AC269-AD269</f>
        <v>11077</v>
      </c>
      <c r="S269" s="24" t="s">
        <v>19</v>
      </c>
      <c r="T269" s="24">
        <v>3294</v>
      </c>
      <c r="U269" s="24">
        <v>672</v>
      </c>
      <c r="V269" s="24">
        <v>16</v>
      </c>
      <c r="W269" s="24">
        <v>676</v>
      </c>
      <c r="X269" s="24">
        <v>2144</v>
      </c>
      <c r="Y269" s="24">
        <v>1342</v>
      </c>
      <c r="Z269" s="24">
        <v>1342</v>
      </c>
      <c r="AA269" s="24">
        <f>T269+U269+V269*2+W269*3</f>
        <v>6026</v>
      </c>
      <c r="AB269" s="24">
        <v>113</v>
      </c>
      <c r="AC269" s="24">
        <v>1</v>
      </c>
      <c r="AD269" s="24">
        <v>116</v>
      </c>
      <c r="AE269" s="9"/>
      <c r="AF269" s="37"/>
      <c r="AG269" s="37"/>
      <c r="AH269" s="37"/>
      <c r="AI269" s="37"/>
      <c r="AJ269" s="37"/>
      <c r="AK269" s="38"/>
      <c r="AL269" s="37"/>
      <c r="AM269" s="38"/>
    </row>
    <row r="270" spans="1:68" x14ac:dyDescent="0.2">
      <c r="A270" s="9"/>
      <c r="B270" s="46" t="s">
        <v>283</v>
      </c>
      <c r="C270" s="49" t="s">
        <v>299</v>
      </c>
      <c r="D270" s="44" t="s">
        <v>283</v>
      </c>
      <c r="E270" s="74">
        <f>(T270-W270)/(R270-W270-Z270+AD270)</f>
        <v>0.25526186979931476</v>
      </c>
      <c r="F270" s="74">
        <f>AA270/Q270</f>
        <v>0.47506527415143601</v>
      </c>
      <c r="G270" s="131">
        <f>(U270+V270+W270)/T270</f>
        <v>0.51722017220172201</v>
      </c>
      <c r="H270" s="131">
        <f>(AA270+X270)/Q270</f>
        <v>0.65966057441253267</v>
      </c>
      <c r="I270" s="74">
        <f>(AA270/R270)+((T270+Y270+AB270)/(R270+Y270+AB270+AD270))</f>
        <v>0.98231788548194898</v>
      </c>
      <c r="J270" s="131">
        <f>W270/AA270</f>
        <v>0.16020884858477605</v>
      </c>
      <c r="K270" s="74">
        <f>(AC270+AD270)/AA270</f>
        <v>2.2258862324814509E-2</v>
      </c>
      <c r="L270" s="74">
        <f>Z270/Q270</f>
        <v>0.208355091383812</v>
      </c>
      <c r="M270" s="74">
        <f>(Y270+AB270)/Q270</f>
        <v>0.18172323759791123</v>
      </c>
      <c r="N270" s="61">
        <f>(E270*0.7635+F270*0.7562+G270*0.75+H270*0.7248+I270*0.7021+J270*0.6285+1-K270*0.5884+1-L270*0.5276+M270*0.3663)/6.931</f>
        <v>0.59934937545074163</v>
      </c>
      <c r="O270" s="68">
        <f>N270/0.5139*100</f>
        <v>116.62762705793766</v>
      </c>
      <c r="P270" s="93">
        <f>(O270-100)/100*Q270*0.3389</f>
        <v>431.64887524102653</v>
      </c>
      <c r="Q270" s="24">
        <v>7660</v>
      </c>
      <c r="R270" s="24">
        <f>Q270-Y270-AB270-AC270-AD270</f>
        <v>6187</v>
      </c>
      <c r="S270" s="24" t="s">
        <v>19</v>
      </c>
      <c r="T270" s="24">
        <v>1626</v>
      </c>
      <c r="U270" s="24">
        <v>252</v>
      </c>
      <c r="V270" s="24">
        <v>6</v>
      </c>
      <c r="W270" s="24">
        <v>583</v>
      </c>
      <c r="X270" s="24">
        <v>1414</v>
      </c>
      <c r="Y270" s="24">
        <v>1317</v>
      </c>
      <c r="Z270" s="24">
        <v>1596</v>
      </c>
      <c r="AA270" s="24">
        <f>T270+U270+V270*2+W270*3</f>
        <v>3639</v>
      </c>
      <c r="AB270" s="24">
        <v>75</v>
      </c>
      <c r="AC270" s="24">
        <v>3</v>
      </c>
      <c r="AD270" s="24">
        <v>78</v>
      </c>
      <c r="AE270" s="9"/>
      <c r="AF270" s="37"/>
      <c r="AG270" s="37"/>
      <c r="AH270" s="37"/>
      <c r="AI270" s="37"/>
      <c r="AJ270" s="37"/>
      <c r="AK270" s="38"/>
      <c r="AL270" s="37"/>
      <c r="AM270" s="38"/>
    </row>
    <row r="271" spans="1:68" x14ac:dyDescent="0.2">
      <c r="A271" s="9"/>
      <c r="B271" s="46" t="s">
        <v>283</v>
      </c>
      <c r="C271" s="49" t="s">
        <v>297</v>
      </c>
      <c r="D271" s="44" t="s">
        <v>283</v>
      </c>
      <c r="E271" s="73">
        <f>(T271-W271)/(R271-W271-Z271+AD271)</f>
        <v>0.28256859580355081</v>
      </c>
      <c r="F271" s="73">
        <f>AA271/Q271</f>
        <v>0.44728540594388178</v>
      </c>
      <c r="G271" s="73">
        <f>(U271+V271+W271)/T271</f>
        <v>0.39470198675496687</v>
      </c>
      <c r="H271" s="73">
        <f>(AA271+X271)/Q271</f>
        <v>0.59961813049975099</v>
      </c>
      <c r="I271" s="73">
        <f>(AA271/R271)+((T271+Y271+AB271)/(R271+Y271+AB271+AD271))</f>
        <v>0.88522389861332884</v>
      </c>
      <c r="J271" s="73">
        <f>W271/AA271</f>
        <v>0.10560504825538233</v>
      </c>
      <c r="K271" s="73">
        <f>(AC271+AD271)/AA271</f>
        <v>2.4870081662954714E-2</v>
      </c>
      <c r="L271" s="73">
        <f>Z271/Q271</f>
        <v>0.11190436659472024</v>
      </c>
      <c r="M271" s="73">
        <f>(Y271+AB271)/Q271</f>
        <v>0.11954175659970115</v>
      </c>
      <c r="N271" s="60">
        <f>(E271*0.7635+F271*0.7562+G271*0.75+H271*0.7248+I271*0.7021+J271*0.6285+1-K271*0.5884+1-L271*0.5276+M271*0.3663)/6.931</f>
        <v>0.56883716282567576</v>
      </c>
      <c r="O271" s="67">
        <f>N271/0.5155*100</f>
        <v>110.34668532020868</v>
      </c>
      <c r="P271" s="93">
        <f>(O271-100)/100*Q271*0.3389</f>
        <v>422.39198476355512</v>
      </c>
      <c r="Q271" s="24">
        <v>12046</v>
      </c>
      <c r="R271" s="24">
        <f>Q271-Y271-AB271-AC271-AD271</f>
        <v>10472</v>
      </c>
      <c r="S271" s="24" t="s">
        <v>19</v>
      </c>
      <c r="T271" s="24">
        <v>3020</v>
      </c>
      <c r="U271" s="24">
        <v>585</v>
      </c>
      <c r="V271" s="24">
        <v>38</v>
      </c>
      <c r="W271" s="24">
        <v>569</v>
      </c>
      <c r="X271" s="24">
        <v>1835</v>
      </c>
      <c r="Y271" s="24">
        <v>1353</v>
      </c>
      <c r="Z271" s="24">
        <v>1348</v>
      </c>
      <c r="AA271" s="24">
        <f>T271+U271+V271*2+W271*3</f>
        <v>5388</v>
      </c>
      <c r="AB271" s="24">
        <v>87</v>
      </c>
      <c r="AC271" s="24">
        <v>15</v>
      </c>
      <c r="AD271" s="24">
        <v>119</v>
      </c>
      <c r="AE271" s="9"/>
      <c r="AF271" s="37"/>
      <c r="AG271" s="37"/>
      <c r="AH271" s="37"/>
      <c r="AI271" s="37"/>
      <c r="AJ271" s="37"/>
      <c r="AK271" s="38"/>
      <c r="AL271" s="37"/>
      <c r="AM271" s="38"/>
    </row>
    <row r="272" spans="1:68" x14ac:dyDescent="0.2">
      <c r="A272" s="9"/>
      <c r="B272" s="46" t="s">
        <v>283</v>
      </c>
      <c r="C272" s="49" t="s">
        <v>311</v>
      </c>
      <c r="D272" s="44" t="s">
        <v>283</v>
      </c>
      <c r="E272" s="73">
        <f>(T272-W272)/(R272-W272-Z272+AD272)</f>
        <v>0.34126984126984128</v>
      </c>
      <c r="F272" s="73">
        <f>AA272/Q272</f>
        <v>0.46784758741581328</v>
      </c>
      <c r="G272" s="73">
        <f>(U272+V272+W272)/T272</f>
        <v>0.37491525423728811</v>
      </c>
      <c r="H272" s="73">
        <f>(AA272+X272)/Q272</f>
        <v>0.6320693790940124</v>
      </c>
      <c r="I272" s="73">
        <f>(AA272/R272)+((T272+Y272+AB272)/(R272+Y272+AB272+AD272))</f>
        <v>0.92270723300207758</v>
      </c>
      <c r="J272" s="73">
        <f>W272/AA272</f>
        <v>9.8402681916781698E-2</v>
      </c>
      <c r="K272" s="73">
        <f>(AC272+AD272)/AA272</f>
        <v>1.932557680930783E-2</v>
      </c>
      <c r="L272" s="73">
        <f>Z272/Q272</f>
        <v>0.17510840483439433</v>
      </c>
      <c r="M272" s="73">
        <f>(Y272+AB272)/Q272</f>
        <v>0.11578558907648306</v>
      </c>
      <c r="N272" s="60">
        <f>(E272*0.7635+F272*0.7562+G272*0.75+H272*0.7248+I272*0.7021+J272*0.6285+1-K272*0.5884+1-L272*0.5276+M272*0.3663)/6.931</f>
        <v>0.57740426019731872</v>
      </c>
      <c r="O272" s="67">
        <f>N272/0.518*100</f>
        <v>111.46800389909627</v>
      </c>
      <c r="P272" s="93">
        <f>(O272-100)/100*Q272*0.3389</f>
        <v>421.25844185494998</v>
      </c>
      <c r="Q272" s="24">
        <v>10839</v>
      </c>
      <c r="R272" s="24">
        <f>Q272-Y272-AB272-AC272-AD272</f>
        <v>9486</v>
      </c>
      <c r="S272" s="24" t="s">
        <v>19</v>
      </c>
      <c r="T272" s="24">
        <v>2950</v>
      </c>
      <c r="U272" s="24">
        <v>590</v>
      </c>
      <c r="V272" s="24">
        <v>17</v>
      </c>
      <c r="W272" s="24">
        <v>499</v>
      </c>
      <c r="X272" s="24">
        <v>1780</v>
      </c>
      <c r="Y272" s="24">
        <v>1188</v>
      </c>
      <c r="Z272" s="24">
        <v>1898</v>
      </c>
      <c r="AA272" s="24">
        <f>T272+U272+V272*2+W272*3</f>
        <v>5071</v>
      </c>
      <c r="AB272" s="24">
        <v>67</v>
      </c>
      <c r="AC272" s="24">
        <v>5</v>
      </c>
      <c r="AD272" s="24">
        <v>93</v>
      </c>
      <c r="AE272" s="9"/>
      <c r="AF272" s="37"/>
      <c r="AG272" s="37"/>
      <c r="AH272" s="37"/>
      <c r="AI272" s="37"/>
      <c r="AJ272" s="37"/>
      <c r="AK272" s="38"/>
      <c r="AL272" s="37"/>
      <c r="AM272" s="38"/>
    </row>
    <row r="273" spans="1:39" x14ac:dyDescent="0.2">
      <c r="A273" s="9"/>
      <c r="B273" s="46" t="s">
        <v>283</v>
      </c>
      <c r="C273" s="49" t="s">
        <v>300</v>
      </c>
      <c r="D273" s="44" t="s">
        <v>283</v>
      </c>
      <c r="E273" s="128">
        <f>(T273-W273)/(R273-W273-Z273+AD273)</f>
        <v>0.36545415868964048</v>
      </c>
      <c r="F273" s="73">
        <f>AA273/Q273</f>
        <v>0.45234333859926279</v>
      </c>
      <c r="G273" s="73">
        <f>(U273+V273+W273)/T273</f>
        <v>0.29853273137697517</v>
      </c>
      <c r="H273" s="73">
        <f>(AA273+X273)/Q273</f>
        <v>0.59136387572406535</v>
      </c>
      <c r="I273" s="73">
        <f>(AA273/R273)+((T273+Y273+AB273)/(R273+Y273+AB273+AD273))</f>
        <v>0.94354956602283635</v>
      </c>
      <c r="J273" s="73">
        <f>W273/AA273</f>
        <v>2.0954598370197905E-2</v>
      </c>
      <c r="K273" s="73">
        <f>(AC273+AD273)/AA273</f>
        <v>6.82964687621265E-2</v>
      </c>
      <c r="L273" s="128">
        <f>Z273/Q273</f>
        <v>4.0898718623837108E-2</v>
      </c>
      <c r="M273" s="73">
        <f>(Y273+AB273)/Q273</f>
        <v>0.10145690714411093</v>
      </c>
      <c r="N273" s="60">
        <f>(E273*0.7635+F273*0.7562+G273*0.75+H273*0.7248+I273*0.7021+J273*0.6285+1-K273*0.5884+1-L273*0.5276+M273*0.3663)/6.931</f>
        <v>0.5662447471890717</v>
      </c>
      <c r="O273" s="67">
        <f>N273/0.4685*100</f>
        <v>120.86333984825434</v>
      </c>
      <c r="P273" s="93">
        <f>(O273-100)/100*Q273*0.3389</f>
        <v>402.81127727444635</v>
      </c>
      <c r="Q273" s="24">
        <v>5697</v>
      </c>
      <c r="R273" s="96">
        <f>Q273-Y273-AB273-AC273-AD273</f>
        <v>4943</v>
      </c>
      <c r="S273" s="24" t="s">
        <v>19</v>
      </c>
      <c r="T273" s="24">
        <v>1772</v>
      </c>
      <c r="U273" s="24">
        <v>307</v>
      </c>
      <c r="V273" s="24">
        <v>168</v>
      </c>
      <c r="W273" s="24">
        <v>54</v>
      </c>
      <c r="X273" s="24">
        <v>792</v>
      </c>
      <c r="Y273" s="24">
        <v>519</v>
      </c>
      <c r="Z273" s="24">
        <v>233</v>
      </c>
      <c r="AA273" s="24">
        <f>T273+U273+V273*2+W273*3</f>
        <v>2577</v>
      </c>
      <c r="AB273" s="24">
        <v>59</v>
      </c>
      <c r="AC273" s="24">
        <v>131</v>
      </c>
      <c r="AD273" s="96">
        <v>45</v>
      </c>
      <c r="AE273" s="9"/>
      <c r="AF273" s="37"/>
      <c r="AG273" s="37"/>
      <c r="AH273" s="37"/>
      <c r="AI273" s="37"/>
      <c r="AJ273" s="37"/>
      <c r="AK273" s="38"/>
      <c r="AL273" s="37"/>
      <c r="AM273" s="38"/>
    </row>
    <row r="274" spans="1:39" x14ac:dyDescent="0.2">
      <c r="A274" s="9"/>
      <c r="B274" s="46" t="s">
        <v>283</v>
      </c>
      <c r="C274" s="113" t="s">
        <v>285</v>
      </c>
      <c r="D274" s="114" t="s">
        <v>283</v>
      </c>
      <c r="E274" s="115">
        <f>(T274-W274)/(R274-W274-Z274+AD274)</f>
        <v>0.2733609958506224</v>
      </c>
      <c r="F274" s="115">
        <f>AA274/Q274</f>
        <v>0.29538589730236436</v>
      </c>
      <c r="G274" s="115">
        <f>(U274+V274+W274)/T274</f>
        <v>0.3134166214014123</v>
      </c>
      <c r="H274" s="115">
        <f>(AA274+S274)/Q274</f>
        <v>0.37162795542131027</v>
      </c>
      <c r="I274" s="115">
        <f>(AA274/R274)+((T274+Y274+AB274)/(R274+Y274+AB274+AD274))</f>
        <v>0.58153925451571808</v>
      </c>
      <c r="J274" s="115">
        <f>W274/AA274</f>
        <v>6.8406205923836394E-2</v>
      </c>
      <c r="K274" s="115">
        <f>(AC274+AD274)/AA274</f>
        <v>4.0550070521861777E-2</v>
      </c>
      <c r="L274" s="115">
        <f>Z274/Q274</f>
        <v>0.27632538277262786</v>
      </c>
      <c r="M274" s="115">
        <f>(Y274+AB274)/Q274</f>
        <v>6.6763878762628889E-2</v>
      </c>
      <c r="N274" s="116">
        <f>(1-E274*0.7635+1-F274*0.7562+1-G274*0.75+1-H274*0.7248+1-I274*0.7021+1-J274*0.6285+K274*0.5884+L274*0.5276+1-M274*0.3663)/11.068</f>
        <v>0.52018440274883559</v>
      </c>
      <c r="O274" s="117">
        <f>N274/0.49*100</f>
        <v>106.16008219363992</v>
      </c>
      <c r="P274" s="133">
        <f>(O274-100)/100*Q274*0.6611</f>
        <v>390.99403677205606</v>
      </c>
      <c r="Q274" s="24">
        <v>9601</v>
      </c>
      <c r="R274" s="24">
        <f>Q274-Y274-AB274-AC274-AD274</f>
        <v>8845</v>
      </c>
      <c r="S274" s="24">
        <v>732</v>
      </c>
      <c r="T274" s="24">
        <v>1841</v>
      </c>
      <c r="U274" s="24">
        <v>353</v>
      </c>
      <c r="V274" s="24">
        <v>30</v>
      </c>
      <c r="W274" s="24">
        <v>194</v>
      </c>
      <c r="X274" s="24" t="s">
        <v>19</v>
      </c>
      <c r="Y274" s="24">
        <v>604</v>
      </c>
      <c r="Z274" s="24">
        <v>2653</v>
      </c>
      <c r="AA274" s="24">
        <f>T274+U274+V274*2+W274*3</f>
        <v>2836</v>
      </c>
      <c r="AB274" s="24">
        <v>37</v>
      </c>
      <c r="AC274" s="24">
        <v>88</v>
      </c>
      <c r="AD274" s="24">
        <v>27</v>
      </c>
      <c r="AE274" s="9"/>
      <c r="AF274" s="37"/>
      <c r="AG274" s="37"/>
      <c r="AH274" s="37"/>
      <c r="AI274" s="37"/>
      <c r="AJ274" s="37"/>
      <c r="AK274" s="38"/>
      <c r="AL274" s="37"/>
      <c r="AM274" s="38"/>
    </row>
    <row r="275" spans="1:39" x14ac:dyDescent="0.2">
      <c r="A275" s="9"/>
      <c r="B275" s="46" t="s">
        <v>283</v>
      </c>
      <c r="C275" s="49" t="s">
        <v>310</v>
      </c>
      <c r="D275" s="44" t="s">
        <v>283</v>
      </c>
      <c r="E275" s="73">
        <f>(T275-W275)/(R275-W275-Z275+AD275)</f>
        <v>0.34830402010050249</v>
      </c>
      <c r="F275" s="128">
        <f>AA275/Q275</f>
        <v>0.47968197879858659</v>
      </c>
      <c r="G275" s="73">
        <f>(U275+V275+W275)/T275</f>
        <v>0.44186046511627908</v>
      </c>
      <c r="H275" s="73">
        <f>(AA275+X275)/Q275</f>
        <v>0.6238515901060071</v>
      </c>
      <c r="I275" s="73">
        <f>(AA275/R275)+((T275+Y275+AB275)/(R275+Y275+AB275+AD275))</f>
        <v>1.0017212585484367</v>
      </c>
      <c r="J275" s="73">
        <f>W275/AA275</f>
        <v>0.1141804788213628</v>
      </c>
      <c r="K275" s="73">
        <f>(AC275+AD275)/AA275</f>
        <v>1.9152854511970532E-2</v>
      </c>
      <c r="L275" s="73">
        <f>Z275/Q275</f>
        <v>0.2146643109540636</v>
      </c>
      <c r="M275" s="73">
        <f>(Y275+AB275)/Q275</f>
        <v>0.16802120141342755</v>
      </c>
      <c r="N275" s="60">
        <f>(E275*0.7635+F275*0.7562+G275*0.75+H275*0.7248+I275*0.7021+J275*0.6285+1-K275*0.5884+1-L275*0.5276+M275*0.3663)/6.931</f>
        <v>0.595054000238044</v>
      </c>
      <c r="O275" s="67">
        <f>N275/0.5158*100</f>
        <v>115.365257898031</v>
      </c>
      <c r="P275" s="93">
        <f>(O275-100)/100*Q275*0.3389</f>
        <v>294.73238203297723</v>
      </c>
      <c r="Q275" s="24">
        <v>5660</v>
      </c>
      <c r="R275" s="24">
        <f>Q275-Y275-AB275-AC275-AD275</f>
        <v>4657</v>
      </c>
      <c r="S275" s="24" t="s">
        <v>19</v>
      </c>
      <c r="T275" s="24">
        <v>1419</v>
      </c>
      <c r="U275" s="24">
        <v>268</v>
      </c>
      <c r="V275" s="24">
        <v>49</v>
      </c>
      <c r="W275" s="24">
        <v>310</v>
      </c>
      <c r="X275" s="24">
        <v>816</v>
      </c>
      <c r="Y275" s="24">
        <v>865</v>
      </c>
      <c r="Z275" s="24">
        <v>1215</v>
      </c>
      <c r="AA275" s="24">
        <f>T275+U275+V275*2+W275*3</f>
        <v>2715</v>
      </c>
      <c r="AB275" s="24">
        <v>86</v>
      </c>
      <c r="AC275" s="24">
        <v>0</v>
      </c>
      <c r="AD275" s="24">
        <v>52</v>
      </c>
      <c r="AE275" s="9"/>
      <c r="AF275" s="37"/>
      <c r="AG275" s="37"/>
      <c r="AH275" s="37"/>
      <c r="AI275" s="37"/>
      <c r="AJ275" s="37"/>
      <c r="AK275" s="38"/>
      <c r="AL275" s="37"/>
      <c r="AM275" s="38"/>
    </row>
    <row r="276" spans="1:39" x14ac:dyDescent="0.2">
      <c r="A276" s="9"/>
      <c r="B276" s="47" t="s">
        <v>283</v>
      </c>
      <c r="C276" s="49" t="s">
        <v>312</v>
      </c>
      <c r="D276" s="44" t="s">
        <v>283</v>
      </c>
      <c r="E276" s="73">
        <f>(T276-W276)/(R276-W276-Z276+AD276)</f>
        <v>0.34399999999999997</v>
      </c>
      <c r="F276" s="73">
        <f>AA276/Q276</f>
        <v>0.43090452261306533</v>
      </c>
      <c r="G276" s="73">
        <f>(U276+V276+W276)/T276</f>
        <v>0.38488488488488487</v>
      </c>
      <c r="H276" s="73">
        <f>(AA276+X276)/Q276</f>
        <v>0.56168341708542713</v>
      </c>
      <c r="I276" s="73">
        <f>(AA276/R276)+((T276+Y276+AB276)/(R276+Y276+AB276+AD276))</f>
        <v>0.93782226763559828</v>
      </c>
      <c r="J276" s="73">
        <f>W276/AA276</f>
        <v>9.358600583090379E-2</v>
      </c>
      <c r="K276" s="128">
        <f>(AC276+AD276)/AA276</f>
        <v>1.3411078717201166E-2</v>
      </c>
      <c r="L276" s="73">
        <f>Z276/Q276</f>
        <v>0.18090452261306533</v>
      </c>
      <c r="M276" s="73">
        <f>(Y276+AB276)/Q276</f>
        <v>0.1663316582914573</v>
      </c>
      <c r="N276" s="60">
        <f>(E276*0.7635+F276*0.7562+G276*0.75+H276*0.7248+I276*0.7021+J276*0.6285+1-K276*0.5884+1-L276*0.5276+M276*0.3663)/6.931</f>
        <v>0.5712192475433796</v>
      </c>
      <c r="O276" s="67">
        <f>N276/0.5165*100</f>
        <v>110.594239601816</v>
      </c>
      <c r="P276" s="93">
        <f>(O276-100)/100*Q276*0.3389</f>
        <v>285.79486896401318</v>
      </c>
      <c r="Q276" s="54">
        <v>7960</v>
      </c>
      <c r="R276" s="54">
        <f>Q276-Y276-AB276-AC276-AD276</f>
        <v>6590</v>
      </c>
      <c r="S276" s="24" t="s">
        <v>19</v>
      </c>
      <c r="T276" s="19">
        <v>1998</v>
      </c>
      <c r="U276" s="19">
        <v>427</v>
      </c>
      <c r="V276" s="19">
        <v>21</v>
      </c>
      <c r="W276" s="19">
        <v>321</v>
      </c>
      <c r="X276" s="19">
        <v>1041</v>
      </c>
      <c r="Y276" s="54">
        <v>1261</v>
      </c>
      <c r="Z276" s="19">
        <v>1440</v>
      </c>
      <c r="AA276" s="24">
        <f>T276+U276+V276*2+W276*3</f>
        <v>3430</v>
      </c>
      <c r="AB276" s="19">
        <v>63</v>
      </c>
      <c r="AC276" s="19">
        <v>0</v>
      </c>
      <c r="AD276" s="19">
        <v>46</v>
      </c>
      <c r="AE276" s="9"/>
      <c r="AF276" s="37"/>
      <c r="AG276" s="37"/>
      <c r="AH276" s="37"/>
      <c r="AI276" s="37"/>
      <c r="AJ276" s="37"/>
      <c r="AK276" s="38"/>
      <c r="AL276" s="37"/>
      <c r="AM276" s="38"/>
    </row>
    <row r="277" spans="1:39" x14ac:dyDescent="0.2">
      <c r="A277" s="9"/>
      <c r="B277" s="46" t="s">
        <v>283</v>
      </c>
      <c r="C277" s="113" t="s">
        <v>306</v>
      </c>
      <c r="D277" s="114" t="s">
        <v>283</v>
      </c>
      <c r="E277" s="115">
        <f>(T277-W277)/(R277-W277-Z277+AD277)</f>
        <v>0.28206102038232689</v>
      </c>
      <c r="F277" s="115">
        <f>AA277/Q277</f>
        <v>0.33371540854756837</v>
      </c>
      <c r="G277" s="115">
        <f>(U277+V277+W277)/T277</f>
        <v>0.34042553191489361</v>
      </c>
      <c r="H277" s="115">
        <f>(AA277+S277)/Q277</f>
        <v>0.43130833469788765</v>
      </c>
      <c r="I277" s="115">
        <f>(AA277/R277)+((T277+Y277+AB277)/(R277+Y277+AB277+AD277))</f>
        <v>0.65179913896214758</v>
      </c>
      <c r="J277" s="115">
        <f>W277/AA277</f>
        <v>7.60549558390579E-2</v>
      </c>
      <c r="K277" s="115">
        <f>(AC277+AD277)/AA277</f>
        <v>2.6251226692836114E-2</v>
      </c>
      <c r="L277" s="115">
        <f>Z277/Q277</f>
        <v>0.24668413296217456</v>
      </c>
      <c r="M277" s="115">
        <f>(Y277+AB277)/Q277</f>
        <v>7.7697723923366629E-2</v>
      </c>
      <c r="N277" s="116">
        <f>(1-E277*0.7635+1-F277*0.7562+1-G277*0.75+1-H277*0.7248+1-I277*0.7021+1-J277*0.6285+K277*0.5884+L277*0.5276+1-M277*0.3663)/11.068</f>
        <v>0.50380075604651531</v>
      </c>
      <c r="O277" s="117">
        <f>N277/0.4892*100</f>
        <v>102.98461897925498</v>
      </c>
      <c r="P277" s="133">
        <f>(O277-100)/100*Q277*0.6611</f>
        <v>240.99829450163259</v>
      </c>
      <c r="Q277" s="24">
        <v>12214</v>
      </c>
      <c r="R277" s="24">
        <f>Q277-Y277-AB277-AC277-AD277</f>
        <v>11158</v>
      </c>
      <c r="S277" s="24">
        <v>1192</v>
      </c>
      <c r="T277" s="24">
        <v>2538</v>
      </c>
      <c r="U277" s="24">
        <v>500</v>
      </c>
      <c r="V277" s="24">
        <v>54</v>
      </c>
      <c r="W277" s="24">
        <v>310</v>
      </c>
      <c r="X277" s="24" t="s">
        <v>19</v>
      </c>
      <c r="Y277" s="24">
        <v>851</v>
      </c>
      <c r="Z277" s="24">
        <v>3013</v>
      </c>
      <c r="AA277" s="24">
        <f>T277+U277+V277*2+W277*3</f>
        <v>4076</v>
      </c>
      <c r="AB277" s="24">
        <v>98</v>
      </c>
      <c r="AC277" s="24">
        <v>43</v>
      </c>
      <c r="AD277" s="24">
        <v>64</v>
      </c>
      <c r="AE277" s="9"/>
      <c r="AF277" s="37"/>
      <c r="AG277" s="37"/>
      <c r="AH277" s="37"/>
      <c r="AI277" s="37"/>
      <c r="AJ277" s="37"/>
      <c r="AK277" s="38"/>
      <c r="AL277" s="37"/>
      <c r="AM277" s="38"/>
    </row>
    <row r="278" spans="1:39" x14ac:dyDescent="0.2">
      <c r="A278" s="9"/>
      <c r="B278" s="46" t="s">
        <v>283</v>
      </c>
      <c r="C278" s="135" t="s">
        <v>309</v>
      </c>
      <c r="D278" s="136" t="s">
        <v>283</v>
      </c>
      <c r="E278" s="118">
        <f>(T278-W278)/(R278-W278-Z278+AD278)</f>
        <v>0.28012016989536931</v>
      </c>
      <c r="F278" s="118">
        <f>AA278/Q278</f>
        <v>0.32692015209125475</v>
      </c>
      <c r="G278" s="129">
        <f>(U278+V278+W278)/T278</f>
        <v>0.28070772371554953</v>
      </c>
      <c r="H278" s="118">
        <f>(AA278+S278)/Q278</f>
        <v>0.43079847908745245</v>
      </c>
      <c r="I278" s="118">
        <f>(AA278/R278)+((T278+Y278+AB278)/(R278+Y278+AB278+AD278))</f>
        <v>0.67534349354705592</v>
      </c>
      <c r="J278" s="129">
        <f>W278/AA278</f>
        <v>5.466387531984182E-2</v>
      </c>
      <c r="K278" s="118">
        <f>(AC278+AD278)/AA278</f>
        <v>4.5824610374505699E-2</v>
      </c>
      <c r="L278" s="118">
        <f>Z278/Q278</f>
        <v>0.15315589353612166</v>
      </c>
      <c r="M278" s="118">
        <f>(Y278+AB278)/Q278</f>
        <v>8.5475285171102658E-2</v>
      </c>
      <c r="N278" s="119">
        <f>(1-E278*0.7635+1-F278*0.7562+1-G278*0.75+1-H278*0.7248+1-I278*0.7021+1-J278*0.6285+K278*0.5884+L278*0.5276+1-M278*0.3663)/11.068</f>
        <v>0.50452488630305059</v>
      </c>
      <c r="O278" s="120">
        <f>N278/0.4927*100</f>
        <v>102.4000175163488</v>
      </c>
      <c r="P278" s="133">
        <f>(O278-100)/100*Q278*0.6611</f>
        <v>208.64468277765195</v>
      </c>
      <c r="Q278" s="24">
        <v>13150</v>
      </c>
      <c r="R278" s="24">
        <f>Q278-Y278-AB278-AC278-AD278</f>
        <v>11829</v>
      </c>
      <c r="S278" s="24">
        <v>1366</v>
      </c>
      <c r="T278" s="23">
        <v>2939</v>
      </c>
      <c r="U278" s="23">
        <v>525</v>
      </c>
      <c r="V278" s="23">
        <v>65</v>
      </c>
      <c r="W278" s="23">
        <v>235</v>
      </c>
      <c r="X278" s="23" t="s">
        <v>19</v>
      </c>
      <c r="Y278" s="24">
        <v>1007</v>
      </c>
      <c r="Z278" s="23">
        <v>2014</v>
      </c>
      <c r="AA278" s="24">
        <f>T278+U278+V278*2+W278*3</f>
        <v>4299</v>
      </c>
      <c r="AB278" s="23">
        <v>117</v>
      </c>
      <c r="AC278" s="23">
        <v>124</v>
      </c>
      <c r="AD278" s="23">
        <v>73</v>
      </c>
      <c r="AE278" s="9"/>
      <c r="AF278" s="37"/>
      <c r="AG278" s="37"/>
      <c r="AH278" s="37"/>
      <c r="AI278" s="37"/>
      <c r="AJ278" s="37"/>
      <c r="AK278" s="38"/>
      <c r="AL278" s="37"/>
      <c r="AM278" s="38"/>
    </row>
    <row r="279" spans="1:39" x14ac:dyDescent="0.2">
      <c r="A279" s="9"/>
      <c r="B279" s="46" t="s">
        <v>283</v>
      </c>
      <c r="C279" s="49" t="s">
        <v>284</v>
      </c>
      <c r="D279" s="44" t="s">
        <v>283</v>
      </c>
      <c r="E279" s="73">
        <f>(T279-W279)/(R279-W279-Z279+AD279)</f>
        <v>0.31855654067506611</v>
      </c>
      <c r="F279" s="73">
        <f>AA279/Q279</f>
        <v>0.36198867212083069</v>
      </c>
      <c r="G279" s="73">
        <f>(U279+V279+W279)/T279</f>
        <v>0.24459586466165414</v>
      </c>
      <c r="H279" s="73">
        <f>(AA279+X279)/Q279</f>
        <v>0.44468219005663939</v>
      </c>
      <c r="I279" s="73">
        <f>(AA279/R279)+((T279+Y279+AB279)/(R279+Y279+AB279+AD279))</f>
        <v>0.78291209840656673</v>
      </c>
      <c r="J279" s="73">
        <f>W279/AA279</f>
        <v>2.7816411682892908E-2</v>
      </c>
      <c r="K279" s="73">
        <f>(AC279+AD279)/AA279</f>
        <v>2.3470097357440892E-2</v>
      </c>
      <c r="L279" s="73">
        <f>Z279/Q279</f>
        <v>7.193203272498426E-2</v>
      </c>
      <c r="M279" s="73">
        <f>(Y279+AB279)/Q279</f>
        <v>0.1052863436123348</v>
      </c>
      <c r="N279" s="60">
        <f>(E279*0.7635+F279*0.7562+G279*0.75+H279*0.7248+I279*0.7021+J279*0.6285+1-K279*0.5884+1-L279*0.5276+M279*0.3663)/6.931</f>
        <v>0.51604050547695934</v>
      </c>
      <c r="O279" s="67">
        <f>N279/0.4968*100</f>
        <v>103.87288757587747</v>
      </c>
      <c r="P279" s="93">
        <f>(O279-100)/100*Q279*0.3389</f>
        <v>208.55968215496858</v>
      </c>
      <c r="Q279" s="24">
        <v>15890</v>
      </c>
      <c r="R279" s="24">
        <f>Q279-Y279-AB279-AC279-AD279</f>
        <v>14082</v>
      </c>
      <c r="S279" s="24" t="s">
        <v>19</v>
      </c>
      <c r="T279" s="24">
        <v>4256</v>
      </c>
      <c r="U279" s="24">
        <v>746</v>
      </c>
      <c r="V279" s="24">
        <v>135</v>
      </c>
      <c r="W279" s="24">
        <v>160</v>
      </c>
      <c r="X279" s="24">
        <v>1314</v>
      </c>
      <c r="Y279" s="24">
        <v>1566</v>
      </c>
      <c r="Z279" s="24">
        <v>1143</v>
      </c>
      <c r="AA279" s="24">
        <f>T279+U279+V279*2+W279*3</f>
        <v>5752</v>
      </c>
      <c r="AB279" s="24">
        <v>107</v>
      </c>
      <c r="AC279" s="24">
        <v>56</v>
      </c>
      <c r="AD279" s="24">
        <v>79</v>
      </c>
      <c r="AE279" s="9"/>
      <c r="AF279" s="37"/>
      <c r="AG279" s="37"/>
      <c r="AH279" s="37"/>
      <c r="AI279" s="37"/>
      <c r="AJ279" s="37"/>
      <c r="AK279" s="38"/>
      <c r="AL279" s="37"/>
      <c r="AM279" s="38"/>
    </row>
    <row r="280" spans="1:39" x14ac:dyDescent="0.2">
      <c r="A280" s="9"/>
      <c r="B280" s="46" t="s">
        <v>283</v>
      </c>
      <c r="C280" s="113" t="s">
        <v>303</v>
      </c>
      <c r="D280" s="114" t="s">
        <v>283</v>
      </c>
      <c r="E280" s="115">
        <f>(T280-W280)/(R280-W280-Z280+AD280)</f>
        <v>0.26533742331288346</v>
      </c>
      <c r="F280" s="115">
        <f>AA280/Q280</f>
        <v>0.26472222222222225</v>
      </c>
      <c r="G280" s="115">
        <f>(U280+V280+W280)/T280</f>
        <v>0.30282861896838603</v>
      </c>
      <c r="H280" s="115">
        <f>(AA280+S280)/Q280</f>
        <v>0.33750000000000002</v>
      </c>
      <c r="I280" s="115">
        <f>(AA280/R280)+((T280+Y280+AB280)/(R280+Y280+AB280+AD280))</f>
        <v>0.5578074203316461</v>
      </c>
      <c r="J280" s="115">
        <f>W280/AA280</f>
        <v>8.6044071353620147E-2</v>
      </c>
      <c r="K280" s="130">
        <f>(AC280+AD280)/AA280</f>
        <v>4.9317943336831059E-2</v>
      </c>
      <c r="L280" s="115">
        <f>Z280/Q280</f>
        <v>0.3322222222222222</v>
      </c>
      <c r="M280" s="115">
        <f>(Y280+AB280)/Q280</f>
        <v>9.2499999999999999E-2</v>
      </c>
      <c r="N280" s="116">
        <f>(1-E280*0.7635+1-F280*0.7562+1-G280*0.75+1-H280*0.7248+1-I280*0.7021+1-J280*0.6285+K280*0.5884+L280*0.5276+1-M280*0.3663)/11.068</f>
        <v>0.52856808386999599</v>
      </c>
      <c r="O280" s="117">
        <f>N280/0.4863*100</f>
        <v>108.69177130783385</v>
      </c>
      <c r="P280" s="133">
        <f>(O280-100)/100*Q280*0.6611</f>
        <v>206.86068041792242</v>
      </c>
      <c r="Q280" s="24">
        <v>3600</v>
      </c>
      <c r="R280" s="24">
        <f>Q280-Y280-AB280-AC280-AD280</f>
        <v>3220</v>
      </c>
      <c r="S280" s="24">
        <v>262</v>
      </c>
      <c r="T280" s="24">
        <v>601</v>
      </c>
      <c r="U280" s="24">
        <v>94</v>
      </c>
      <c r="V280" s="24">
        <v>6</v>
      </c>
      <c r="W280" s="24">
        <v>82</v>
      </c>
      <c r="X280" s="24" t="s">
        <v>19</v>
      </c>
      <c r="Y280" s="24">
        <v>300</v>
      </c>
      <c r="Z280" s="24">
        <v>1196</v>
      </c>
      <c r="AA280" s="24">
        <f>T280+U280+V280*2+W280*3</f>
        <v>953</v>
      </c>
      <c r="AB280" s="24">
        <v>33</v>
      </c>
      <c r="AC280" s="24">
        <v>33</v>
      </c>
      <c r="AD280" s="24">
        <v>14</v>
      </c>
      <c r="AE280" s="9"/>
      <c r="AF280" s="37"/>
      <c r="AG280" s="37"/>
      <c r="AH280" s="37"/>
      <c r="AI280" s="37"/>
      <c r="AJ280" s="37"/>
      <c r="AK280" s="38"/>
      <c r="AL280" s="37"/>
      <c r="AM280" s="38"/>
    </row>
    <row r="281" spans="1:39" x14ac:dyDescent="0.2">
      <c r="A281" s="9"/>
      <c r="B281" s="46" t="s">
        <v>283</v>
      </c>
      <c r="C281" s="113" t="s">
        <v>302</v>
      </c>
      <c r="D281" s="114" t="s">
        <v>283</v>
      </c>
      <c r="E281" s="115">
        <f>(T281-W281)/(R281-W281-Z281+AD281)</f>
        <v>0.27925088077137028</v>
      </c>
      <c r="F281" s="115">
        <f>AA281/Q281</f>
        <v>0.33962720890825465</v>
      </c>
      <c r="G281" s="115">
        <f>(U281+V281+W281)/T281</f>
        <v>0.35110081112398611</v>
      </c>
      <c r="H281" s="115">
        <f>(AA281+S281)/Q281</f>
        <v>0.43318809005083514</v>
      </c>
      <c r="I281" s="115">
        <f>(AA281/R281)+((T281+Y281+AB281)/(R281+Y281+AB281+AD281))</f>
        <v>0.65490270159072694</v>
      </c>
      <c r="J281" s="115">
        <f>W281/AA281</f>
        <v>7.8403421240199569E-2</v>
      </c>
      <c r="K281" s="115">
        <f>(AC281+AD281)/AA281</f>
        <v>3.4212401995723452E-2</v>
      </c>
      <c r="L281" s="115">
        <f>Z281/Q281</f>
        <v>0.24061970467199226</v>
      </c>
      <c r="M281" s="115">
        <f>(Y281+AB281)/Q281</f>
        <v>7.2984749455337686E-2</v>
      </c>
      <c r="N281" s="116">
        <f>(1-E281*0.7635+1-F281*0.7562+1-G281*0.75+1-H281*0.7248+1-I281*0.7021+1-J281*0.6285+K281*0.5884+L281*0.5276+1-M281*0.3663)/11.068</f>
        <v>0.50270410226781925</v>
      </c>
      <c r="O281" s="117">
        <f>N281/0.4873*100</f>
        <v>103.16111271656459</v>
      </c>
      <c r="P281" s="133">
        <f>(O281-100)/100*Q281*0.6611</f>
        <v>172.66023579000054</v>
      </c>
      <c r="Q281" s="24">
        <v>8262</v>
      </c>
      <c r="R281" s="24">
        <f>Q281-Y281-AB281-AC281-AD281</f>
        <v>7563</v>
      </c>
      <c r="S281" s="24">
        <v>773</v>
      </c>
      <c r="T281" s="24">
        <v>1726</v>
      </c>
      <c r="U281" s="24">
        <v>352</v>
      </c>
      <c r="V281" s="24">
        <v>34</v>
      </c>
      <c r="W281" s="24">
        <v>220</v>
      </c>
      <c r="X281" s="24" t="s">
        <v>19</v>
      </c>
      <c r="Y281" s="24">
        <v>567</v>
      </c>
      <c r="Z281" s="24">
        <v>1988</v>
      </c>
      <c r="AA281" s="24">
        <f>T281+U281+V281*2+W281*3</f>
        <v>2806</v>
      </c>
      <c r="AB281" s="24">
        <v>36</v>
      </c>
      <c r="AC281" s="24">
        <v>58</v>
      </c>
      <c r="AD281" s="24">
        <v>38</v>
      </c>
      <c r="AE281" s="9"/>
      <c r="AF281" s="37"/>
      <c r="AG281" s="37"/>
      <c r="AH281" s="37"/>
      <c r="AI281" s="37"/>
      <c r="AJ281" s="37"/>
      <c r="AK281" s="38"/>
      <c r="AL281" s="37"/>
      <c r="AM281" s="38"/>
    </row>
    <row r="282" spans="1:39" x14ac:dyDescent="0.2">
      <c r="A282" s="9"/>
      <c r="B282" s="46" t="s">
        <v>283</v>
      </c>
      <c r="C282" s="113" t="s">
        <v>301</v>
      </c>
      <c r="D282" s="114" t="s">
        <v>283</v>
      </c>
      <c r="E282" s="118">
        <f>(T282-W282)/(R282-W282-Z282+AD282)</f>
        <v>0.29669837716843872</v>
      </c>
      <c r="F282" s="118">
        <f>AA282/Q282</f>
        <v>0.35915386931647092</v>
      </c>
      <c r="G282" s="118">
        <f>(U282+V282+W282)/T282</f>
        <v>0.33989326217478316</v>
      </c>
      <c r="H282" s="118">
        <f>(AA282+S282)/Q282</f>
        <v>0.45837097259861487</v>
      </c>
      <c r="I282" s="118">
        <f>(AA282/R282)+((T282+Y282+AB282)/(R282+Y282+AB282+AD282))</f>
        <v>0.67296219601669216</v>
      </c>
      <c r="J282" s="118">
        <f>W282/AA282</f>
        <v>7.2731083630266188E-2</v>
      </c>
      <c r="K282" s="118">
        <f>(AC282+AD282)/AA282</f>
        <v>4.1710333263466778E-2</v>
      </c>
      <c r="L282" s="118">
        <f>Z282/Q282</f>
        <v>0.23456790123456789</v>
      </c>
      <c r="M282" s="129">
        <f>(Y282+AB282)/Q282</f>
        <v>5.7437518819632639E-2</v>
      </c>
      <c r="N282" s="119">
        <f>(1-E282*0.7635+1-F282*0.7562+1-G282*0.75+1-H282*0.7248+1-I282*0.7021+1-J282*0.6285+K282*0.5884+L282*0.5276+1-M282*0.3663)/11.068</f>
        <v>0.49907789873863628</v>
      </c>
      <c r="O282" s="120">
        <f>N282/0.4896*100</f>
        <v>101.93584533060383</v>
      </c>
      <c r="P282" s="133">
        <f>(O282-100)/100*Q282*0.6611</f>
        <v>170.00695131658122</v>
      </c>
      <c r="Q282" s="24">
        <v>13284</v>
      </c>
      <c r="R282" s="24">
        <f>Q282-Y282-AB282-AC282-AD282</f>
        <v>12322</v>
      </c>
      <c r="S282" s="24">
        <v>1318</v>
      </c>
      <c r="T282" s="24">
        <v>2998</v>
      </c>
      <c r="U282" s="24">
        <v>612</v>
      </c>
      <c r="V282" s="24">
        <v>60</v>
      </c>
      <c r="W282" s="24">
        <v>347</v>
      </c>
      <c r="X282" s="24" t="s">
        <v>19</v>
      </c>
      <c r="Y282" s="24">
        <v>711</v>
      </c>
      <c r="Z282" s="24">
        <v>3116</v>
      </c>
      <c r="AA282" s="24">
        <f>T282+U282+V282*2+W282*3</f>
        <v>4771</v>
      </c>
      <c r="AB282" s="24">
        <v>52</v>
      </c>
      <c r="AC282" s="24">
        <v>123</v>
      </c>
      <c r="AD282" s="24">
        <v>76</v>
      </c>
      <c r="AE282" s="9"/>
      <c r="AF282" s="37"/>
      <c r="AG282" s="37"/>
      <c r="AH282" s="37"/>
      <c r="AI282" s="37"/>
      <c r="AJ282" s="37"/>
      <c r="AK282" s="38"/>
      <c r="AL282" s="37"/>
      <c r="AM282" s="38"/>
    </row>
    <row r="283" spans="1:39" x14ac:dyDescent="0.2">
      <c r="A283" s="9"/>
      <c r="B283" s="46" t="s">
        <v>283</v>
      </c>
      <c r="C283" s="49" t="s">
        <v>313</v>
      </c>
      <c r="D283" s="44" t="s">
        <v>283</v>
      </c>
      <c r="E283" s="74">
        <f>(T283-W283)/(R283-W283-Z283+AD283)</f>
        <v>0.29685937187437489</v>
      </c>
      <c r="F283" s="74">
        <f>AA283/Q283</f>
        <v>0.42175522072429289</v>
      </c>
      <c r="G283" s="74">
        <f>(U283+V283+W283)/T283</f>
        <v>0.41291040623260988</v>
      </c>
      <c r="H283" s="74">
        <f>(AA283+X283)/Q283</f>
        <v>0.56357388316151202</v>
      </c>
      <c r="I283" s="74">
        <f>(AA283/R283)+((T283+Y283+AB283)/(R283+Y283+AB283+AD283))</f>
        <v>0.80888098505250761</v>
      </c>
      <c r="J283" s="74">
        <f>W283/AA283</f>
        <v>9.8088373550611091E-2</v>
      </c>
      <c r="K283" s="74">
        <f>(AC283+AD283)/AA283</f>
        <v>2.820432466311501E-2</v>
      </c>
      <c r="L283" s="74">
        <f>Z283/Q283</f>
        <v>0.20010573618821043</v>
      </c>
      <c r="M283" s="74">
        <f>(Y283+AB283)/Q283</f>
        <v>9.767380385937087E-2</v>
      </c>
      <c r="N283" s="61">
        <f>(E283*0.7635+F283*0.7562+G283*0.75+H283*0.7248+I283*0.7021+J283*0.6285+1-K283*0.5884+1-L283*0.5276+M283*0.3663)/6.931</f>
        <v>0.54925915008204473</v>
      </c>
      <c r="O283" s="68">
        <f>N283/0.5161*100</f>
        <v>106.42494673164981</v>
      </c>
      <c r="P283" s="93">
        <f>(O283-100)/100*Q283*0.3389</f>
        <v>164.7431770869641</v>
      </c>
      <c r="Q283" s="24">
        <v>7566</v>
      </c>
      <c r="R283" s="24">
        <f>Q283-Y283-AB283-AC283-AD283</f>
        <v>6737</v>
      </c>
      <c r="S283" s="24" t="s">
        <v>19</v>
      </c>
      <c r="T283" s="24">
        <v>1797</v>
      </c>
      <c r="U283" s="24">
        <v>403</v>
      </c>
      <c r="V283" s="24">
        <v>26</v>
      </c>
      <c r="W283" s="24">
        <v>313</v>
      </c>
      <c r="X283" s="24">
        <v>1073</v>
      </c>
      <c r="Y283" s="24">
        <v>670</v>
      </c>
      <c r="Z283" s="24">
        <v>1514</v>
      </c>
      <c r="AA283" s="24">
        <f>T283+U283+V283*2+W283*3</f>
        <v>3191</v>
      </c>
      <c r="AB283" s="24">
        <v>69</v>
      </c>
      <c r="AC283" s="24">
        <v>1</v>
      </c>
      <c r="AD283" s="24">
        <v>89</v>
      </c>
      <c r="AE283" s="9"/>
      <c r="AF283" s="37"/>
      <c r="AG283" s="37"/>
      <c r="AH283" s="37"/>
      <c r="AI283" s="37"/>
      <c r="AJ283" s="37"/>
      <c r="AK283" s="38"/>
      <c r="AL283" s="37"/>
      <c r="AM283" s="38"/>
    </row>
    <row r="284" spans="1:39" x14ac:dyDescent="0.2">
      <c r="A284" s="9"/>
      <c r="B284" s="46" t="s">
        <v>283</v>
      </c>
      <c r="C284" s="113" t="s">
        <v>307</v>
      </c>
      <c r="D284" s="114" t="s">
        <v>283</v>
      </c>
      <c r="E284" s="118">
        <f>(T284-W284)/(R284-W284-Z284+AD284)</f>
        <v>0.29193790686029042</v>
      </c>
      <c r="F284" s="118">
        <f>AA284/Q284</f>
        <v>0.34023904382470121</v>
      </c>
      <c r="G284" s="118">
        <f>(U284+V284+W284)/T284</f>
        <v>0.37893700787401574</v>
      </c>
      <c r="H284" s="118">
        <f>(AA284+S284)/Q284</f>
        <v>0.43426294820717132</v>
      </c>
      <c r="I284" s="118">
        <f>(AA284/R284)+((T284+Y284+AB284)/(R284+Y284+AB284+AD284))</f>
        <v>0.65249849477083366</v>
      </c>
      <c r="J284" s="118">
        <f>W284/AA284</f>
        <v>8.2845433255269316E-2</v>
      </c>
      <c r="K284" s="118">
        <f>(AC284+AD284)/AA284</f>
        <v>3.0737704918032786E-2</v>
      </c>
      <c r="L284" s="118">
        <f>Z284/Q284</f>
        <v>0.29352589641434262</v>
      </c>
      <c r="M284" s="118">
        <f>(Y284+AB284)/Q284</f>
        <v>7.6095617529880477E-2</v>
      </c>
      <c r="N284" s="119">
        <f>(1-E284*0.7635+1-F284*0.7562+1-G284*0.75+1-H284*0.7248+1-I284*0.7021+1-J284*0.6285+K284*0.5884+L284*0.5276+1-M284*0.3663)/11.068</f>
        <v>0.50196503959587135</v>
      </c>
      <c r="O284" s="120">
        <f>N284/0.49*100</f>
        <v>102.44184481548395</v>
      </c>
      <c r="P284" s="133">
        <f>(O284-100)/100*Q284*0.6611</f>
        <v>162.0760821946503</v>
      </c>
      <c r="Q284" s="24">
        <v>10040</v>
      </c>
      <c r="R284" s="24">
        <f>Q284-Y284-AB284-AC284-AD284</f>
        <v>9171</v>
      </c>
      <c r="S284" s="24">
        <v>944</v>
      </c>
      <c r="T284" s="24">
        <v>2032</v>
      </c>
      <c r="U284" s="24">
        <v>439</v>
      </c>
      <c r="V284" s="24">
        <v>48</v>
      </c>
      <c r="W284" s="24">
        <v>283</v>
      </c>
      <c r="X284" s="24" t="s">
        <v>19</v>
      </c>
      <c r="Y284" s="24">
        <v>670</v>
      </c>
      <c r="Z284" s="24">
        <v>2947</v>
      </c>
      <c r="AA284" s="24">
        <f>T284+U284+V284*2+W284*3</f>
        <v>3416</v>
      </c>
      <c r="AB284" s="24">
        <v>94</v>
      </c>
      <c r="AC284" s="24">
        <v>55</v>
      </c>
      <c r="AD284" s="24">
        <v>50</v>
      </c>
      <c r="AE284" s="9"/>
      <c r="AF284" s="37"/>
      <c r="AG284" s="37"/>
      <c r="AH284" s="37"/>
      <c r="AI284" s="37"/>
      <c r="AJ284" s="37"/>
      <c r="AK284" s="38"/>
      <c r="AL284" s="37"/>
      <c r="AM284" s="38"/>
    </row>
    <row r="285" spans="1:39" x14ac:dyDescent="0.2">
      <c r="A285" s="9"/>
      <c r="B285" s="46" t="s">
        <v>283</v>
      </c>
      <c r="C285" s="113" t="s">
        <v>305</v>
      </c>
      <c r="D285" s="114" t="s">
        <v>283</v>
      </c>
      <c r="E285" s="129">
        <f>(T285-W285)/(R285-W285-Z285+AD285)</f>
        <v>0.26142595978062155</v>
      </c>
      <c r="F285" s="129">
        <f>AA285/Q285</f>
        <v>0.22553897180762852</v>
      </c>
      <c r="G285" s="118">
        <f>(U285+V285+W285)/T285</f>
        <v>0.32335329341317365</v>
      </c>
      <c r="H285" s="129">
        <f>(AA285+S285)/Q285</f>
        <v>0.28980099502487561</v>
      </c>
      <c r="I285" s="129">
        <f>(AA285/R285)+((T285+Y285+AB285)/(R285+Y285+AB285+AD285))</f>
        <v>0.50440058687481371</v>
      </c>
      <c r="J285" s="118">
        <f>W285/AA285</f>
        <v>8.8235294117647065E-2</v>
      </c>
      <c r="K285" s="118">
        <f>(AC285+AD285)/AA285</f>
        <v>2.2058823529411766E-2</v>
      </c>
      <c r="L285" s="129">
        <f>Z285/Q285</f>
        <v>0.41334991708126034</v>
      </c>
      <c r="M285" s="118">
        <f>(Y285+AB285)/Q285</f>
        <v>0.11028192371475953</v>
      </c>
      <c r="N285" s="119">
        <f>(1-E285*0.7635+1-F285*0.7562+1-G285*0.75+1-H285*0.7248+1-I285*0.7021+1-J285*0.6285+K285*0.5884+L285*0.5276+1-M285*0.3663)/11.068</f>
        <v>0.53834089292871068</v>
      </c>
      <c r="O285" s="120">
        <f>N285/0.4904*100</f>
        <v>109.77587539329336</v>
      </c>
      <c r="P285" s="133">
        <f>(O285-100)/100*Q285*0.6611</f>
        <v>155.88348908685052</v>
      </c>
      <c r="Q285" s="24">
        <v>2412</v>
      </c>
      <c r="R285" s="24">
        <f>Q285-Y285-AB285-AC285-AD285</f>
        <v>2134</v>
      </c>
      <c r="S285" s="24">
        <v>155</v>
      </c>
      <c r="T285" s="24">
        <v>334</v>
      </c>
      <c r="U285" s="24">
        <v>54</v>
      </c>
      <c r="V285" s="24">
        <v>6</v>
      </c>
      <c r="W285" s="24">
        <v>48</v>
      </c>
      <c r="X285" s="24" t="s">
        <v>19</v>
      </c>
      <c r="Y285" s="24">
        <v>243</v>
      </c>
      <c r="Z285" s="24">
        <v>997</v>
      </c>
      <c r="AA285" s="24">
        <f>T285+U285+V285*2+W285*3</f>
        <v>544</v>
      </c>
      <c r="AB285" s="24">
        <v>23</v>
      </c>
      <c r="AC285" s="24">
        <v>7</v>
      </c>
      <c r="AD285" s="24">
        <v>5</v>
      </c>
      <c r="AE285" s="9"/>
      <c r="AF285" s="37"/>
      <c r="AG285" s="37"/>
      <c r="AH285" s="37"/>
      <c r="AI285" s="37"/>
      <c r="AJ285" s="37"/>
      <c r="AK285" s="38"/>
      <c r="AL285" s="37"/>
      <c r="AM285" s="38"/>
    </row>
    <row r="286" spans="1:39" x14ac:dyDescent="0.2">
      <c r="A286" s="9"/>
      <c r="B286" s="46" t="s">
        <v>283</v>
      </c>
      <c r="C286" s="113" t="s">
        <v>304</v>
      </c>
      <c r="D286" s="114" t="s">
        <v>283</v>
      </c>
      <c r="E286" s="118">
        <f>(T286-W286)/(R286-W286-Z286+AD286)</f>
        <v>0.29509530450953048</v>
      </c>
      <c r="F286" s="118">
        <f>AA286/Q286</f>
        <v>0.36047066306249004</v>
      </c>
      <c r="G286" s="118">
        <f>(U286+V286+W286)/T286</f>
        <v>0.33811188811188814</v>
      </c>
      <c r="H286" s="118">
        <f>(AA286+S286)/Q286</f>
        <v>0.45897598982350135</v>
      </c>
      <c r="I286" s="118">
        <f>(AA286/R286)+((T286+Y286+AB286)/(R286+Y286+AB286+AD286))</f>
        <v>0.67955742230608807</v>
      </c>
      <c r="J286" s="118">
        <f>W286/AA286</f>
        <v>7.0798411998235555E-2</v>
      </c>
      <c r="K286" s="118">
        <f>(AC286+AD286)/AA286</f>
        <v>2.9113365681517425E-2</v>
      </c>
      <c r="L286" s="118">
        <f>Z286/Q286</f>
        <v>0.22229289235172522</v>
      </c>
      <c r="M286" s="118">
        <f>(Y286+AB286)/Q286</f>
        <v>6.1774526951820639E-2</v>
      </c>
      <c r="N286" s="119">
        <f>(1-E286*0.7635+1-F286*0.7562+1-G286*0.75+1-H286*0.7248+1-I286*0.7021+1-J286*0.6285+K286*0.5884+L286*0.5276+1-M286*0.3663)/11.068</f>
        <v>0.49747262948124837</v>
      </c>
      <c r="O286" s="120">
        <f>N286/0.4889*100</f>
        <v>101.75345254269756</v>
      </c>
      <c r="P286" s="133">
        <f>(O286-100)/100*Q286*0.6611</f>
        <v>145.80511632843189</v>
      </c>
      <c r="Q286" s="24">
        <v>12578</v>
      </c>
      <c r="R286" s="24">
        <f>Q286-Y286-AB286-AC286-AD286</f>
        <v>11669</v>
      </c>
      <c r="S286" s="24">
        <v>1239</v>
      </c>
      <c r="T286" s="24">
        <v>2860</v>
      </c>
      <c r="U286" s="24">
        <v>581</v>
      </c>
      <c r="V286" s="24">
        <v>65</v>
      </c>
      <c r="W286" s="24">
        <v>321</v>
      </c>
      <c r="X286" s="24" t="s">
        <v>19</v>
      </c>
      <c r="Y286" s="24">
        <v>705</v>
      </c>
      <c r="Z286" s="24">
        <v>2796</v>
      </c>
      <c r="AA286" s="24">
        <f>T286+U286+V286*2+W286*3</f>
        <v>4534</v>
      </c>
      <c r="AB286" s="24">
        <v>72</v>
      </c>
      <c r="AC286" s="24">
        <v>80</v>
      </c>
      <c r="AD286" s="24">
        <v>52</v>
      </c>
      <c r="AE286" s="9"/>
      <c r="AF286" s="37"/>
      <c r="AG286" s="37"/>
      <c r="AH286" s="37"/>
      <c r="AI286" s="37"/>
      <c r="AJ286" s="37"/>
      <c r="AK286" s="38"/>
      <c r="AL286" s="37"/>
      <c r="AM286" s="38"/>
    </row>
    <row r="287" spans="1:39" x14ac:dyDescent="0.2">
      <c r="A287" s="9"/>
      <c r="B287" s="8"/>
      <c r="C287" s="16"/>
      <c r="D287" s="13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66"/>
      <c r="P287" s="279"/>
      <c r="Q287" s="53"/>
      <c r="R287" s="53"/>
      <c r="S287" s="15"/>
      <c r="T287" s="15"/>
      <c r="U287" s="15"/>
      <c r="V287" s="15"/>
      <c r="W287" s="15"/>
      <c r="X287" s="15"/>
      <c r="Y287" s="53"/>
      <c r="Z287" s="15"/>
      <c r="AA287" s="53"/>
      <c r="AB287" s="15"/>
      <c r="AC287" s="15"/>
      <c r="AD287" s="15"/>
      <c r="AE287" s="9"/>
      <c r="AF287" s="37"/>
      <c r="AG287" s="37"/>
      <c r="AH287" s="37"/>
      <c r="AI287" s="37"/>
      <c r="AJ287" s="37"/>
      <c r="AK287" s="38"/>
      <c r="AL287" s="37"/>
      <c r="AM287" s="38"/>
    </row>
    <row r="288" spans="1:39" x14ac:dyDescent="0.2">
      <c r="A288" s="9"/>
      <c r="B288" s="8"/>
      <c r="C288" s="174" t="s">
        <v>316</v>
      </c>
      <c r="D288" s="13"/>
      <c r="E288" s="89">
        <v>0.31621472110205406</v>
      </c>
      <c r="F288" s="89">
        <v>0.41311308443784189</v>
      </c>
      <c r="G288" s="89">
        <v>0.30968466412076895</v>
      </c>
      <c r="H288" s="89">
        <v>0.55525083928652352</v>
      </c>
      <c r="I288" s="89">
        <v>0.85409647037801462</v>
      </c>
      <c r="J288" s="89">
        <v>5.5813029262579535E-2</v>
      </c>
      <c r="K288" s="89">
        <v>5.4711217110894793E-2</v>
      </c>
      <c r="L288" s="89">
        <v>8.3900717562701843E-2</v>
      </c>
      <c r="M288" s="89">
        <v>0.10582853477039855</v>
      </c>
      <c r="N288" s="89">
        <v>0.54618119675587429</v>
      </c>
      <c r="O288" s="173">
        <v>109.49729525478094</v>
      </c>
      <c r="P288" s="194">
        <v>262.82677907279134</v>
      </c>
      <c r="Q288" s="53"/>
      <c r="R288" s="53"/>
      <c r="S288" s="15"/>
      <c r="T288" s="15"/>
      <c r="U288" s="15"/>
      <c r="V288" s="15"/>
      <c r="W288" s="15"/>
      <c r="X288" s="15"/>
      <c r="Y288" s="53"/>
      <c r="Z288" s="15"/>
      <c r="AA288" s="53"/>
      <c r="AB288" s="15"/>
      <c r="AC288" s="15"/>
      <c r="AD288" s="15"/>
      <c r="AE288" s="9"/>
    </row>
    <row r="289" spans="1:31" x14ac:dyDescent="0.2">
      <c r="A289" s="9"/>
      <c r="B289" s="8"/>
      <c r="C289" s="174" t="s">
        <v>317</v>
      </c>
      <c r="D289" s="13"/>
      <c r="E289" s="89">
        <v>0.27956134840899488</v>
      </c>
      <c r="F289" s="89">
        <v>0.31323778262209401</v>
      </c>
      <c r="G289" s="89">
        <v>0.25582222323863302</v>
      </c>
      <c r="H289" s="89">
        <v>0.41358893233963329</v>
      </c>
      <c r="I289" s="89">
        <v>0.6471470991954551</v>
      </c>
      <c r="J289" s="89">
        <v>3.9730911296766515E-2</v>
      </c>
      <c r="K289" s="89">
        <v>7.5015856453334806E-2</v>
      </c>
      <c r="L289" s="89">
        <v>0.14709688036786708</v>
      </c>
      <c r="M289" s="89">
        <v>7.3250382122475519E-2</v>
      </c>
      <c r="N289" s="89">
        <v>0.512615806526453</v>
      </c>
      <c r="O289" s="173">
        <v>102.00850400488837</v>
      </c>
      <c r="P289" s="194">
        <v>161.8796529594338</v>
      </c>
      <c r="Q289" s="53"/>
      <c r="R289" s="53"/>
      <c r="S289" s="15"/>
      <c r="T289" s="15"/>
      <c r="U289" s="15"/>
      <c r="V289" s="15"/>
      <c r="W289" s="15"/>
      <c r="X289" s="15"/>
      <c r="Y289" s="53"/>
      <c r="Z289" s="15"/>
      <c r="AA289" s="53"/>
      <c r="AB289" s="15"/>
      <c r="AC289" s="15"/>
      <c r="AD289" s="15"/>
      <c r="AE289" s="9"/>
    </row>
    <row r="290" spans="1:31" x14ac:dyDescent="0.2">
      <c r="A290" s="9"/>
      <c r="B290" s="8"/>
      <c r="C290" s="90" t="s">
        <v>314</v>
      </c>
      <c r="D290" s="13"/>
      <c r="E290" s="132">
        <v>0.31221508101591477</v>
      </c>
      <c r="F290" s="132">
        <v>0.44873332683545214</v>
      </c>
      <c r="G290" s="132">
        <v>0.39743383065110138</v>
      </c>
      <c r="H290" s="132">
        <v>0.59548011730088735</v>
      </c>
      <c r="I290" s="132">
        <v>0.9235799589316116</v>
      </c>
      <c r="J290" s="132">
        <v>9.585330381194522E-2</v>
      </c>
      <c r="K290" s="132">
        <v>2.5430213041312467E-2</v>
      </c>
      <c r="L290" s="132">
        <v>0.1432053248983664</v>
      </c>
      <c r="M290" s="132">
        <v>0.13821772927074777</v>
      </c>
      <c r="N290" s="132">
        <v>0.57368170483195935</v>
      </c>
      <c r="O290" s="94">
        <v>112.62728689945217</v>
      </c>
      <c r="P290" s="195">
        <v>394.30999331036202</v>
      </c>
      <c r="Q290" s="53"/>
      <c r="R290" s="53"/>
      <c r="S290" s="15"/>
      <c r="T290" s="15"/>
      <c r="U290" s="15"/>
      <c r="V290" s="15"/>
      <c r="W290" s="15"/>
      <c r="X290" s="15"/>
      <c r="Y290" s="53"/>
      <c r="Z290" s="15"/>
      <c r="AA290" s="53"/>
      <c r="AB290" s="15"/>
      <c r="AC290" s="15"/>
      <c r="AD290" s="15"/>
      <c r="AE290" s="9"/>
    </row>
    <row r="291" spans="1:31" x14ac:dyDescent="0.2">
      <c r="A291" s="9"/>
      <c r="B291" s="8"/>
      <c r="C291" s="90" t="s">
        <v>315</v>
      </c>
      <c r="D291" s="13"/>
      <c r="E291" s="132">
        <v>0.28116445231347353</v>
      </c>
      <c r="F291" s="132">
        <v>0.3153975018110623</v>
      </c>
      <c r="G291" s="132">
        <v>0.3265787900872521</v>
      </c>
      <c r="H291" s="132">
        <v>0.40471677570065101</v>
      </c>
      <c r="I291" s="132">
        <v>0.62664954089636116</v>
      </c>
      <c r="J291" s="132">
        <v>7.363744807959606E-2</v>
      </c>
      <c r="K291" s="132">
        <v>3.5536480990700503E-2</v>
      </c>
      <c r="L291" s="132">
        <v>0.26435739827727261</v>
      </c>
      <c r="M291" s="132">
        <v>7.8693019666054492E-2</v>
      </c>
      <c r="N291" s="132">
        <v>0.51082961104597457</v>
      </c>
      <c r="O291" s="94">
        <v>104.36180598332464</v>
      </c>
      <c r="P291" s="195">
        <v>243.10963536419041</v>
      </c>
      <c r="Q291" s="53"/>
      <c r="R291" s="53"/>
      <c r="S291" s="15"/>
      <c r="T291" s="15"/>
      <c r="U291" s="15"/>
      <c r="V291" s="15"/>
      <c r="W291" s="15"/>
      <c r="X291" s="15"/>
      <c r="Y291" s="53"/>
      <c r="Z291" s="15"/>
      <c r="AA291" s="53"/>
      <c r="AB291" s="15"/>
      <c r="AC291" s="15"/>
      <c r="AD291" s="15"/>
      <c r="AE291" s="9"/>
    </row>
    <row r="292" spans="1:31" x14ac:dyDescent="0.2">
      <c r="A292" s="9"/>
      <c r="B292" s="8"/>
      <c r="C292" s="16"/>
      <c r="D292" s="13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66"/>
      <c r="P292" s="279"/>
      <c r="Q292" s="53"/>
      <c r="R292" s="53"/>
      <c r="S292" s="15"/>
      <c r="T292" s="15"/>
      <c r="U292" s="15"/>
      <c r="V292" s="15"/>
      <c r="W292" s="15"/>
      <c r="X292" s="15"/>
      <c r="Y292" s="53"/>
      <c r="Z292" s="15"/>
      <c r="AA292" s="53"/>
      <c r="AB292" s="15"/>
      <c r="AC292" s="15"/>
      <c r="AD292" s="15"/>
      <c r="AE292" s="9"/>
    </row>
    <row r="294" spans="1:31" x14ac:dyDescent="0.2">
      <c r="C294" s="172"/>
      <c r="D294" s="171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170"/>
    </row>
    <row r="309" spans="32:36" x14ac:dyDescent="0.2">
      <c r="AF309" s="34"/>
      <c r="AG309" s="34"/>
      <c r="AH309" s="34"/>
      <c r="AI309" s="34"/>
      <c r="AJ309" s="34"/>
    </row>
  </sheetData>
  <sortState xmlns:xlrd2="http://schemas.microsoft.com/office/spreadsheetml/2017/richdata2" ref="AO2:BA83">
    <sortCondition descending="1" ref="BA2:BA8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0E1F-DCF6-B149-AFD3-9749C7763786}">
  <dimension ref="A1:AM273"/>
  <sheetViews>
    <sheetView zoomScale="150" zoomScaleNormal="150" zoomScaleSheetLayoutView="100" workbookViewId="0">
      <pane ySplit="1" topLeftCell="A192" activePane="bottomLeft" state="frozen"/>
      <selection activeCell="C1" sqref="C1"/>
      <selection pane="bottomLeft" activeCell="Q211" sqref="Q211"/>
    </sheetView>
  </sheetViews>
  <sheetFormatPr defaultColWidth="8.875" defaultRowHeight="15" x14ac:dyDescent="0.2"/>
  <cols>
    <col min="1" max="1" width="2.28515625" style="17" customWidth="1"/>
    <col min="2" max="2" width="5.24609375" style="2" bestFit="1" customWidth="1"/>
    <col min="3" max="3" width="18.16015625" style="209" bestFit="1" customWidth="1"/>
    <col min="4" max="11" width="6.859375" style="205" bestFit="1" customWidth="1"/>
    <col min="12" max="12" width="7.80078125" style="205" bestFit="1" customWidth="1"/>
    <col min="13" max="13" width="6.859375" style="205" bestFit="1" customWidth="1"/>
    <col min="14" max="14" width="6.859375" style="202" bestFit="1" customWidth="1"/>
    <col min="15" max="15" width="5.51171875" style="285" bestFit="1" customWidth="1"/>
    <col min="16" max="16" width="5.24609375" style="37" bestFit="1" customWidth="1"/>
    <col min="17" max="17" width="5.78125" style="37" bestFit="1" customWidth="1"/>
    <col min="18" max="19" width="4.16796875" style="37" bestFit="1" customWidth="1"/>
    <col min="20" max="21" width="3.09375" style="37" bestFit="1" customWidth="1"/>
    <col min="22" max="22" width="3.359375" style="37" bestFit="1" customWidth="1"/>
    <col min="23" max="26" width="4.16796875" style="37" bestFit="1" customWidth="1"/>
    <col min="27" max="27" width="4.4375" style="37" bestFit="1" customWidth="1"/>
    <col min="28" max="29" width="3.09375" style="37" bestFit="1" customWidth="1"/>
    <col min="30" max="30" width="2.28515625" style="17" customWidth="1"/>
    <col min="31" max="31" width="5.24609375" style="32" bestFit="1" customWidth="1"/>
    <col min="32" max="32" width="7.3984375" style="32" bestFit="1" customWidth="1"/>
    <col min="33" max="34" width="6.859375" style="32" bestFit="1" customWidth="1"/>
    <col min="35" max="35" width="7.3984375" style="32" bestFit="1" customWidth="1"/>
    <col min="36" max="36" width="7.3984375" style="33" bestFit="1" customWidth="1"/>
    <col min="37" max="37" width="7.3984375" style="17" bestFit="1" customWidth="1"/>
    <col min="38" max="38" width="7.3984375" style="33" bestFit="1" customWidth="1"/>
    <col min="39" max="39" width="2.28515625" style="17" customWidth="1"/>
    <col min="40" max="16384" width="8.875" style="2"/>
  </cols>
  <sheetData>
    <row r="1" spans="1:39" s="1" customFormat="1" x14ac:dyDescent="0.2">
      <c r="A1" s="8"/>
      <c r="B1" s="196" t="s">
        <v>0</v>
      </c>
      <c r="C1" s="207" t="s">
        <v>1</v>
      </c>
      <c r="D1" s="179" t="s">
        <v>12</v>
      </c>
      <c r="E1" s="179" t="s">
        <v>13</v>
      </c>
      <c r="F1" s="179" t="s">
        <v>287</v>
      </c>
      <c r="G1" s="179" t="s">
        <v>288</v>
      </c>
      <c r="H1" s="179" t="s">
        <v>14</v>
      </c>
      <c r="I1" s="179" t="s">
        <v>286</v>
      </c>
      <c r="J1" s="179" t="s">
        <v>289</v>
      </c>
      <c r="K1" s="179" t="s">
        <v>15</v>
      </c>
      <c r="L1" s="179" t="s">
        <v>290</v>
      </c>
      <c r="M1" s="182" t="s">
        <v>282</v>
      </c>
      <c r="N1" s="183" t="s">
        <v>291</v>
      </c>
      <c r="O1" s="184" t="s">
        <v>326</v>
      </c>
      <c r="P1" s="193" t="s">
        <v>7</v>
      </c>
      <c r="Q1" s="193" t="s">
        <v>8</v>
      </c>
      <c r="R1" s="193" t="s">
        <v>17</v>
      </c>
      <c r="S1" s="193" t="s">
        <v>6</v>
      </c>
      <c r="T1" s="193" t="s">
        <v>292</v>
      </c>
      <c r="U1" s="193" t="s">
        <v>293</v>
      </c>
      <c r="V1" s="193" t="s">
        <v>2</v>
      </c>
      <c r="W1" s="193" t="s">
        <v>3</v>
      </c>
      <c r="X1" s="193" t="s">
        <v>9</v>
      </c>
      <c r="Y1" s="193" t="s">
        <v>4</v>
      </c>
      <c r="Z1" s="185" t="s">
        <v>5</v>
      </c>
      <c r="AA1" s="193" t="s">
        <v>11</v>
      </c>
      <c r="AB1" s="193" t="s">
        <v>16</v>
      </c>
      <c r="AC1" s="193" t="s">
        <v>10</v>
      </c>
      <c r="AD1" s="8"/>
      <c r="AE1" s="80" t="s">
        <v>0</v>
      </c>
      <c r="AF1" s="80" t="s">
        <v>294</v>
      </c>
      <c r="AG1" s="82" t="s">
        <v>277</v>
      </c>
      <c r="AH1" s="82" t="s">
        <v>278</v>
      </c>
      <c r="AI1" s="81" t="s">
        <v>295</v>
      </c>
      <c r="AJ1" s="95" t="s">
        <v>280</v>
      </c>
      <c r="AK1" s="5" t="s">
        <v>281</v>
      </c>
      <c r="AL1" s="4" t="s">
        <v>279</v>
      </c>
      <c r="AM1" s="8"/>
    </row>
    <row r="2" spans="1:39" x14ac:dyDescent="0.2">
      <c r="A2" s="9"/>
      <c r="B2" s="196">
        <v>1953</v>
      </c>
      <c r="C2" s="207" t="s">
        <v>395</v>
      </c>
      <c r="D2" s="206">
        <f>(S2-V2)/(Q2-V2-Y2+AC2)</f>
        <v>0.3110236220472441</v>
      </c>
      <c r="E2" s="206">
        <f>Z2/P2</f>
        <v>0.53343023255813948</v>
      </c>
      <c r="F2" s="206">
        <f>(T2+U2+V2)/S2</f>
        <v>0.37313432835820898</v>
      </c>
      <c r="G2" s="206">
        <f>(Z2+W2)/P2</f>
        <v>0.7441860465116279</v>
      </c>
      <c r="H2" s="206">
        <f>(Z2/Q2)+((S2+X2+AA2)/(Q2+X2+AA2+AC2))</f>
        <v>1.0393567457520947</v>
      </c>
      <c r="I2" s="206">
        <f>V2/Z2</f>
        <v>0.11716621253405994</v>
      </c>
      <c r="J2" s="206">
        <f>(AB2+AC2)/Z2</f>
        <v>1.3623978201634877E-2</v>
      </c>
      <c r="K2" s="206">
        <f>Y2/P2</f>
        <v>6.9767441860465115E-2</v>
      </c>
      <c r="L2" s="206">
        <f>(X2+AA2)/P2</f>
        <v>0.12936046511627908</v>
      </c>
      <c r="M2" s="203">
        <f>(D2*0.7635+E2*0.7562+F2*0.75+G2*0.7248+H2*0.7021+I2*0.6285+1-J2*0.5884+1-K2*0.5276+L2*0.3663)/6.931</f>
        <v>0.61549757511422509</v>
      </c>
      <c r="N2" s="200">
        <f>M2/0.5088*100</f>
        <v>120.9704353605002</v>
      </c>
      <c r="O2" s="283">
        <f>(N2-100)/100*P2*0.3389</f>
        <v>48.895338140473804</v>
      </c>
      <c r="P2" s="197">
        <v>688</v>
      </c>
      <c r="Q2" s="189">
        <f>P2-X2-AA2-AB2-AC2</f>
        <v>594</v>
      </c>
      <c r="R2" s="188" t="s">
        <v>19</v>
      </c>
      <c r="S2" s="197">
        <v>201</v>
      </c>
      <c r="T2" s="197">
        <v>27</v>
      </c>
      <c r="U2" s="197">
        <v>5</v>
      </c>
      <c r="V2" s="197">
        <v>43</v>
      </c>
      <c r="W2" s="197">
        <v>145</v>
      </c>
      <c r="X2" s="197">
        <v>85</v>
      </c>
      <c r="Y2" s="197">
        <v>48</v>
      </c>
      <c r="Z2" s="188">
        <f>S2+T2+U2*2+V2*3</f>
        <v>367</v>
      </c>
      <c r="AA2" s="197">
        <v>4</v>
      </c>
      <c r="AB2" s="197">
        <v>0</v>
      </c>
      <c r="AC2" s="199">
        <v>5</v>
      </c>
      <c r="AD2" s="9"/>
      <c r="AE2" s="6">
        <v>2021</v>
      </c>
      <c r="AF2" s="77">
        <v>4.1705438523717164E-2</v>
      </c>
      <c r="AG2" s="83">
        <v>0.51462513627365003</v>
      </c>
      <c r="AH2" s="84">
        <v>0.4908866263541139</v>
      </c>
      <c r="AI2" s="76">
        <v>3.587564604190724E-3</v>
      </c>
      <c r="AJ2" s="41">
        <v>1.159E-2</v>
      </c>
      <c r="AK2" s="42">
        <v>4.1817549917598125E-3</v>
      </c>
      <c r="AL2" s="78">
        <v>6.2100000000000002E-3</v>
      </c>
      <c r="AM2" s="9"/>
    </row>
    <row r="3" spans="1:39" x14ac:dyDescent="0.2">
      <c r="A3" s="9"/>
      <c r="B3" s="196">
        <v>2009</v>
      </c>
      <c r="C3" s="207" t="s">
        <v>348</v>
      </c>
      <c r="D3" s="180">
        <f>(S3-V3)/(Q3-V3-Y3+AC3)</f>
        <v>0.29892473118279572</v>
      </c>
      <c r="E3" s="180">
        <f>Z3/P3</f>
        <v>0.53428571428571425</v>
      </c>
      <c r="F3" s="180">
        <f>(T3+U3+V3)/S3</f>
        <v>0.5</v>
      </c>
      <c r="G3" s="180">
        <f>(Z3+W3)/P3</f>
        <v>0.72714285714285709</v>
      </c>
      <c r="H3" s="180">
        <f>(Z3/Q3)+((S3+X3+AA3)/(Q3+X3+AA3+AC3))</f>
        <v>1.1013078470824951</v>
      </c>
      <c r="I3" s="180">
        <f>V3/Z3</f>
        <v>0.12566844919786097</v>
      </c>
      <c r="J3" s="180">
        <f>(AB3+AC3)/Z3</f>
        <v>2.1390374331550801E-2</v>
      </c>
      <c r="K3" s="180">
        <f>Y3/P3</f>
        <v>9.1428571428571428E-2</v>
      </c>
      <c r="L3" s="180">
        <f>(X3+AA3)/P3</f>
        <v>0.17714285714285713</v>
      </c>
      <c r="M3" s="186">
        <f>(D3*0.7635+E3*0.7562+F3*0.75+G3*0.7248+H3*0.7021+I3*0.6285+1-J3*0.5884+1-K3*0.5276+L3*0.3663)/6.931</f>
        <v>0.63346753860114979</v>
      </c>
      <c r="N3" s="187">
        <f>M3/0.5197*100</f>
        <v>121.89100223227818</v>
      </c>
      <c r="O3" s="283">
        <f>(N3-100)/100*P3*0.3389</f>
        <v>51.932024595633536</v>
      </c>
      <c r="P3" s="197">
        <v>700</v>
      </c>
      <c r="Q3" s="188">
        <f>P3-X3-AA3-AB3-AC3</f>
        <v>568</v>
      </c>
      <c r="R3" s="188" t="s">
        <v>19</v>
      </c>
      <c r="S3" s="197">
        <v>186</v>
      </c>
      <c r="T3" s="197">
        <v>45</v>
      </c>
      <c r="U3" s="197">
        <v>1</v>
      </c>
      <c r="V3" s="197">
        <v>47</v>
      </c>
      <c r="W3" s="197">
        <v>135</v>
      </c>
      <c r="X3" s="197">
        <v>115</v>
      </c>
      <c r="Y3" s="197">
        <v>64</v>
      </c>
      <c r="Z3" s="188">
        <f>S3+T3+U3*2+V3*3</f>
        <v>374</v>
      </c>
      <c r="AA3" s="197">
        <v>9</v>
      </c>
      <c r="AB3" s="197">
        <v>0</v>
      </c>
      <c r="AC3" s="197">
        <v>8</v>
      </c>
      <c r="AD3" s="9"/>
      <c r="AE3" s="6">
        <v>2020</v>
      </c>
      <c r="AF3" s="77">
        <v>4.2447297988151445E-2</v>
      </c>
      <c r="AG3" s="85">
        <v>0.52340473419247957</v>
      </c>
      <c r="AH3" s="86">
        <v>0.48538866889337956</v>
      </c>
      <c r="AI3" s="76">
        <v>3.6237331970047815E-3</v>
      </c>
      <c r="AJ3" s="41">
        <v>1.234E-2</v>
      </c>
      <c r="AK3" s="42">
        <v>1.894565903828226E-3</v>
      </c>
      <c r="AL3" s="78">
        <v>6.0400000000000002E-3</v>
      </c>
      <c r="AM3" s="9"/>
    </row>
    <row r="4" spans="1:39" x14ac:dyDescent="0.2">
      <c r="A4" s="9"/>
      <c r="B4" s="196">
        <v>2008</v>
      </c>
      <c r="C4" s="207" t="s">
        <v>348</v>
      </c>
      <c r="D4" s="180">
        <f>(S4-V4)/(Q4-V4-Y4+AC4)</f>
        <v>0.3401360544217687</v>
      </c>
      <c r="E4" s="180">
        <f>Z4/P4</f>
        <v>0.53354134165366618</v>
      </c>
      <c r="F4" s="180">
        <f>(T4+U4+V4)/S4</f>
        <v>0.43315508021390375</v>
      </c>
      <c r="G4" s="180">
        <f>(Z4+W4)/P4</f>
        <v>0.71450858034321374</v>
      </c>
      <c r="H4" s="180">
        <f>(Z4/Q4)+((S4+X4+AA4)/(Q4+X4+AA4+AC4))</f>
        <v>1.1144502268640364</v>
      </c>
      <c r="I4" s="180">
        <f>V4/Z4</f>
        <v>0.10818713450292397</v>
      </c>
      <c r="J4" s="180">
        <f>(AB4+AC4)/Z4</f>
        <v>2.3391812865497075E-2</v>
      </c>
      <c r="K4" s="180">
        <f>Y4/P4</f>
        <v>8.4243369734789394E-2</v>
      </c>
      <c r="L4" s="180">
        <f>(X4+AA4)/P4</f>
        <v>0.17004680187207488</v>
      </c>
      <c r="M4" s="186">
        <f>(D4*0.7635+E4*0.7562+F4*0.75+G4*0.7248+H4*0.7021+I4*0.6285+1-J4*0.5884+1-K4*0.5276+L4*0.3663)/6.931</f>
        <v>0.62911970661991734</v>
      </c>
      <c r="N4" s="187">
        <f>M4/0.5195*100</f>
        <v>121.10100223675022</v>
      </c>
      <c r="O4" s="283">
        <f>(N4-100)/100*P4*0.3389</f>
        <v>45.838741108002097</v>
      </c>
      <c r="P4" s="197">
        <v>641</v>
      </c>
      <c r="Q4" s="188">
        <f>P4-X4-AA4-AB4-AC4</f>
        <v>524</v>
      </c>
      <c r="R4" s="188" t="s">
        <v>19</v>
      </c>
      <c r="S4" s="197">
        <v>187</v>
      </c>
      <c r="T4" s="197">
        <v>44</v>
      </c>
      <c r="U4" s="197">
        <v>0</v>
      </c>
      <c r="V4" s="197">
        <v>37</v>
      </c>
      <c r="W4" s="197">
        <v>116</v>
      </c>
      <c r="X4" s="197">
        <v>104</v>
      </c>
      <c r="Y4" s="197">
        <v>54</v>
      </c>
      <c r="Z4" s="188">
        <f>S4+T4+U4*2+V4*3</f>
        <v>342</v>
      </c>
      <c r="AA4" s="197">
        <v>5</v>
      </c>
      <c r="AB4" s="197">
        <v>0</v>
      </c>
      <c r="AC4" s="197">
        <v>8</v>
      </c>
      <c r="AD4" s="9"/>
      <c r="AE4" s="6">
        <v>2019</v>
      </c>
      <c r="AF4" s="77">
        <v>4.5738458156629157E-2</v>
      </c>
      <c r="AG4" s="85">
        <v>0.5290120825928688</v>
      </c>
      <c r="AH4" s="86">
        <v>0.48187723667770382</v>
      </c>
      <c r="AI4" s="76">
        <v>4.2087316437643754E-3</v>
      </c>
      <c r="AJ4" s="41">
        <v>1.064E-2</v>
      </c>
      <c r="AK4" s="42">
        <v>4.1604786695046561E-3</v>
      </c>
      <c r="AL4" s="78">
        <v>6.1700000000000001E-3</v>
      </c>
      <c r="AM4" s="9"/>
    </row>
    <row r="5" spans="1:39" x14ac:dyDescent="0.2">
      <c r="A5" s="9"/>
      <c r="B5" s="196">
        <v>2005</v>
      </c>
      <c r="C5" s="207" t="s">
        <v>348</v>
      </c>
      <c r="D5" s="180">
        <f>(S5-V5)/(Q5-V5-Y5+AC5)</f>
        <v>0.3155737704918033</v>
      </c>
      <c r="E5" s="180">
        <f>Z5/P5</f>
        <v>0.51428571428571423</v>
      </c>
      <c r="F5" s="180">
        <f>(T5+U5+V5)/S5</f>
        <v>0.41538461538461541</v>
      </c>
      <c r="G5" s="180">
        <f>(Z5+W5)/P5</f>
        <v>0.68142857142857138</v>
      </c>
      <c r="H5" s="180">
        <f>(Z5/Q5)+((S5+X5+AA5)/(Q5+X5+AA5+AC5))</f>
        <v>1.0391370558375634</v>
      </c>
      <c r="I5" s="180">
        <f>V5/Z5</f>
        <v>0.11388888888888889</v>
      </c>
      <c r="J5" s="180">
        <f>(AB5+AC5)/Z5</f>
        <v>8.3333333333333332E-3</v>
      </c>
      <c r="K5" s="180">
        <f>Y5/P5</f>
        <v>9.285714285714286E-2</v>
      </c>
      <c r="L5" s="180">
        <f>(X5+AA5)/P5</f>
        <v>0.15142857142857144</v>
      </c>
      <c r="M5" s="186">
        <f>(D5*0.7635+E5*0.7562+F5*0.75+G5*0.7248+H5*0.7021+I5*0.6285+1-J5*0.5884+1-K5*0.5276+L5*0.3663)/6.931</f>
        <v>0.6114575297075433</v>
      </c>
      <c r="N5" s="187">
        <f>M5/0.5204*100</f>
        <v>117.49760371013515</v>
      </c>
      <c r="O5" s="283">
        <f>(N5-100)/100*P5*0.3389</f>
        <v>41.509565281553613</v>
      </c>
      <c r="P5" s="197">
        <v>700</v>
      </c>
      <c r="Q5" s="188">
        <f>P5-X5-AA5-AB5-AC5</f>
        <v>591</v>
      </c>
      <c r="R5" s="188" t="s">
        <v>19</v>
      </c>
      <c r="S5" s="197">
        <v>195</v>
      </c>
      <c r="T5" s="197">
        <v>38</v>
      </c>
      <c r="U5" s="197">
        <v>2</v>
      </c>
      <c r="V5" s="197">
        <v>41</v>
      </c>
      <c r="W5" s="197">
        <v>117</v>
      </c>
      <c r="X5" s="197">
        <v>97</v>
      </c>
      <c r="Y5" s="197">
        <v>65</v>
      </c>
      <c r="Z5" s="188">
        <f>S5+T5+U5*2+V5*3</f>
        <v>360</v>
      </c>
      <c r="AA5" s="197">
        <v>9</v>
      </c>
      <c r="AB5" s="197">
        <v>0</v>
      </c>
      <c r="AC5" s="197">
        <v>3</v>
      </c>
      <c r="AD5" s="9"/>
      <c r="AE5" s="6">
        <v>2018</v>
      </c>
      <c r="AF5" s="77">
        <v>4.4636732401060822E-2</v>
      </c>
      <c r="AG5" s="85">
        <v>0.51638189990365269</v>
      </c>
      <c r="AH5" s="86">
        <v>0.48978650630355836</v>
      </c>
      <c r="AI5" s="76">
        <v>4.5749409902829767E-3</v>
      </c>
      <c r="AJ5" s="41">
        <v>1.038E-2</v>
      </c>
      <c r="AK5" s="42">
        <v>4.4453086599797994E-3</v>
      </c>
      <c r="AL5" s="78">
        <v>6.6699999999999997E-3</v>
      </c>
      <c r="AM5" s="9"/>
    </row>
    <row r="6" spans="1:39" x14ac:dyDescent="0.2">
      <c r="A6" s="9"/>
      <c r="B6" s="196">
        <v>2007</v>
      </c>
      <c r="C6" s="207" t="s">
        <v>350</v>
      </c>
      <c r="D6" s="180">
        <f>(S6-V6)/(Q6-V6-Y6+AC6)</f>
        <v>0.30861244019138756</v>
      </c>
      <c r="E6" s="180">
        <f>Z6/P6</f>
        <v>0.53107344632768361</v>
      </c>
      <c r="F6" s="180">
        <f>(T6+U6+V6)/S6</f>
        <v>0.46448087431693991</v>
      </c>
      <c r="G6" s="180">
        <f>(Z6+W6)/P6</f>
        <v>0.75141242937853103</v>
      </c>
      <c r="H6" s="180">
        <f>(Z6/Q6)+((S6+X6+AA6)/(Q6+X6+AA6+AC6))</f>
        <v>1.0672563498754737</v>
      </c>
      <c r="I6" s="180">
        <f>V6/Z6</f>
        <v>0.14361702127659576</v>
      </c>
      <c r="J6" s="180">
        <f>(AB6+AC6)/Z6</f>
        <v>2.3936170212765957E-2</v>
      </c>
      <c r="K6" s="180">
        <f>Y6/P6</f>
        <v>0.16949152542372881</v>
      </c>
      <c r="L6" s="180">
        <f>(X6+AA6)/P6</f>
        <v>0.16384180790960451</v>
      </c>
      <c r="M6" s="186">
        <f>(D6*0.7635+E6*0.7562+F6*0.75+G6*0.7248+H6*0.7021+I6*0.6285+1-J6*0.5884+1-K6*0.5276+L6*0.3663)/6.931</f>
        <v>0.62419552542790802</v>
      </c>
      <c r="N6" s="187">
        <f>M6/0.5225*100</f>
        <v>119.46325845510202</v>
      </c>
      <c r="O6" s="283">
        <f>(N6-100)/100*P6*0.3389</f>
        <v>46.70037589627325</v>
      </c>
      <c r="P6" s="197">
        <v>708</v>
      </c>
      <c r="Q6" s="188">
        <f>P6-X6-AA6-AB6-AC6</f>
        <v>583</v>
      </c>
      <c r="R6" s="188" t="s">
        <v>19</v>
      </c>
      <c r="S6" s="197">
        <v>183</v>
      </c>
      <c r="T6" s="197">
        <v>31</v>
      </c>
      <c r="U6" s="197">
        <v>0</v>
      </c>
      <c r="V6" s="197">
        <v>54</v>
      </c>
      <c r="W6" s="197">
        <v>156</v>
      </c>
      <c r="X6" s="197">
        <v>95</v>
      </c>
      <c r="Y6" s="197">
        <v>120</v>
      </c>
      <c r="Z6" s="188">
        <f>S6+T6+U6*2+V6*3</f>
        <v>376</v>
      </c>
      <c r="AA6" s="197">
        <v>21</v>
      </c>
      <c r="AB6" s="197">
        <v>0</v>
      </c>
      <c r="AC6" s="197">
        <v>9</v>
      </c>
      <c r="AD6" s="9"/>
      <c r="AE6" s="6">
        <v>2017</v>
      </c>
      <c r="AF6" s="77">
        <v>4.5316927062252085E-2</v>
      </c>
      <c r="AG6" s="85">
        <v>0.52414274576387099</v>
      </c>
      <c r="AH6" s="86">
        <v>0.48492651148451477</v>
      </c>
      <c r="AI6" s="76">
        <v>4.290455759734477E-3</v>
      </c>
      <c r="AJ6" s="41">
        <v>9.5099999999999994E-3</v>
      </c>
      <c r="AK6" s="42">
        <v>4.9920397204457753E-3</v>
      </c>
      <c r="AL6" s="78">
        <v>6.3E-3</v>
      </c>
      <c r="AM6" s="9"/>
    </row>
    <row r="7" spans="1:39" x14ac:dyDescent="0.2">
      <c r="A7" s="9"/>
      <c r="B7" s="196">
        <v>2005</v>
      </c>
      <c r="C7" s="207" t="s">
        <v>350</v>
      </c>
      <c r="D7" s="180">
        <f>(S7-V7)/(Q7-V7-Y7+AC7)</f>
        <v>0.34679334916864607</v>
      </c>
      <c r="E7" s="180">
        <f>Z7/P7</f>
        <v>0.51608391608391613</v>
      </c>
      <c r="F7" s="180">
        <f>(T7+U7+V7)/S7</f>
        <v>0.40206185567010311</v>
      </c>
      <c r="G7" s="180">
        <f>(Z7+W7)/P7</f>
        <v>0.6979020979020979</v>
      </c>
      <c r="H7" s="180">
        <f>(Z7/Q7)+((S7+X7+AA7)/(Q7+X7+AA7+AC7))</f>
        <v>1.0308963763509218</v>
      </c>
      <c r="I7" s="180">
        <f>V7/Z7</f>
        <v>0.13008130081300814</v>
      </c>
      <c r="J7" s="180">
        <f>(AB7+AC7)/Z7</f>
        <v>8.130081300813009E-3</v>
      </c>
      <c r="K7" s="180">
        <f>Y7/P7</f>
        <v>0.19440559440559441</v>
      </c>
      <c r="L7" s="180">
        <f>(X7+AA7)/P7</f>
        <v>0.14965034965034965</v>
      </c>
      <c r="M7" s="186">
        <f>(D7*0.7635+E7*0.7562+F7*0.75+G7*0.7248+H7*0.7021+I7*0.6285+1-J7*0.5884+1-K7*0.5276+L7*0.3663)/6.931</f>
        <v>0.6082006127215448</v>
      </c>
      <c r="N7" s="187">
        <f>M7/0.5204*100</f>
        <v>116.87175494264889</v>
      </c>
      <c r="O7" s="283">
        <f>(N7-100)/100*P7*0.3389</f>
        <v>40.882539912955522</v>
      </c>
      <c r="P7" s="197">
        <v>715</v>
      </c>
      <c r="Q7" s="188">
        <f>P7-X7-AA7-AB7-AC7</f>
        <v>605</v>
      </c>
      <c r="R7" s="188" t="s">
        <v>19</v>
      </c>
      <c r="S7" s="197">
        <v>194</v>
      </c>
      <c r="T7" s="197">
        <v>29</v>
      </c>
      <c r="U7" s="197">
        <v>1</v>
      </c>
      <c r="V7" s="197">
        <v>48</v>
      </c>
      <c r="W7" s="197">
        <v>130</v>
      </c>
      <c r="X7" s="197">
        <v>91</v>
      </c>
      <c r="Y7" s="197">
        <v>139</v>
      </c>
      <c r="Z7" s="188">
        <f>S7+T7+U7*2+V7*3</f>
        <v>369</v>
      </c>
      <c r="AA7" s="197">
        <v>16</v>
      </c>
      <c r="AB7" s="197">
        <v>0</v>
      </c>
      <c r="AC7" s="197">
        <v>3</v>
      </c>
      <c r="AD7" s="9"/>
      <c r="AE7" s="6">
        <v>2016</v>
      </c>
      <c r="AF7" s="77">
        <v>4.4717737566366884E-2</v>
      </c>
      <c r="AG7" s="85">
        <v>0.51927531602881305</v>
      </c>
      <c r="AH7" s="86">
        <v>0.48797459203146881</v>
      </c>
      <c r="AI7" s="76">
        <v>4.7296565174991872E-3</v>
      </c>
      <c r="AJ7" s="41">
        <v>8.94E-3</v>
      </c>
      <c r="AK7" s="42">
        <v>5.5531476866399389E-3</v>
      </c>
      <c r="AL7" s="78">
        <v>6.5799999999999999E-3</v>
      </c>
      <c r="AM7" s="9"/>
    </row>
    <row r="8" spans="1:39" x14ac:dyDescent="0.2">
      <c r="A8" s="9"/>
      <c r="B8" s="196">
        <v>2003</v>
      </c>
      <c r="C8" s="207" t="s">
        <v>350</v>
      </c>
      <c r="D8" s="180">
        <f>(S8-V8)/(Q8-V8-Y8+AC8)</f>
        <v>0.30454545454545456</v>
      </c>
      <c r="E8" s="180">
        <f>Z8/P8</f>
        <v>0.50909090909090904</v>
      </c>
      <c r="F8" s="180">
        <f>(T8+U8+V8)/S8</f>
        <v>0.4585635359116022</v>
      </c>
      <c r="G8" s="180">
        <f>(Z8+W8)/P8</f>
        <v>0.6741258741258741</v>
      </c>
      <c r="H8" s="180">
        <f>(Z8/Q8)+((S8+X8+AA8)/(Q8+X8+AA8+AC8))</f>
        <v>0.99547470651259773</v>
      </c>
      <c r="I8" s="180">
        <f>V8/Z8</f>
        <v>0.12912087912087913</v>
      </c>
      <c r="J8" s="180">
        <f>(AB8+AC8)/Z8</f>
        <v>1.6483516483516484E-2</v>
      </c>
      <c r="K8" s="180">
        <f>Y8/P8</f>
        <v>0.17622377622377622</v>
      </c>
      <c r="L8" s="180">
        <f>(X8+AA8)/P8</f>
        <v>0.14265734265734265</v>
      </c>
      <c r="M8" s="186">
        <f>(D8*0.7635+E8*0.7562+F8*0.75+G8*0.7248+H8*0.7021+I8*0.6285+1-J8*0.5884+1-K8*0.5276+L8*0.3663)/6.931</f>
        <v>0.60304143249905084</v>
      </c>
      <c r="N8" s="187">
        <f>M8/0.5222*100</f>
        <v>115.48093307143832</v>
      </c>
      <c r="O8" s="283">
        <f>(N8-100)/100*P8*0.3389</f>
        <v>37.512390758059681</v>
      </c>
      <c r="P8" s="197">
        <v>715</v>
      </c>
      <c r="Q8" s="188">
        <f>P8-X8-AA8-AB8-AC8</f>
        <v>607</v>
      </c>
      <c r="R8" s="188" t="s">
        <v>19</v>
      </c>
      <c r="S8" s="197">
        <v>181</v>
      </c>
      <c r="T8" s="197">
        <v>30</v>
      </c>
      <c r="U8" s="197">
        <v>6</v>
      </c>
      <c r="V8" s="197">
        <v>47</v>
      </c>
      <c r="W8" s="197">
        <v>118</v>
      </c>
      <c r="X8" s="197">
        <v>87</v>
      </c>
      <c r="Y8" s="197">
        <v>126</v>
      </c>
      <c r="Z8" s="188">
        <f>S8+T8+U8*2+V8*3</f>
        <v>364</v>
      </c>
      <c r="AA8" s="197">
        <v>15</v>
      </c>
      <c r="AB8" s="197">
        <v>0</v>
      </c>
      <c r="AC8" s="197">
        <v>6</v>
      </c>
      <c r="AD8" s="9"/>
      <c r="AE8" s="6">
        <v>2015</v>
      </c>
      <c r="AF8" s="77">
        <v>4.4884222449735334E-2</v>
      </c>
      <c r="AG8" s="85">
        <v>0.51244340129766441</v>
      </c>
      <c r="AH8" s="86">
        <v>0.49225287184729749</v>
      </c>
      <c r="AI8" s="76">
        <v>5.1135992332324047E-3</v>
      </c>
      <c r="AJ8" s="41">
        <v>8.7200000000000003E-3</v>
      </c>
      <c r="AK8" s="42">
        <v>6.534951096782626E-3</v>
      </c>
      <c r="AL8" s="78">
        <v>6.7099999999999998E-3</v>
      </c>
      <c r="AM8" s="9"/>
    </row>
    <row r="9" spans="1:39" x14ac:dyDescent="0.2">
      <c r="A9" s="9"/>
      <c r="B9" s="196">
        <v>1987</v>
      </c>
      <c r="C9" s="207" t="s">
        <v>52</v>
      </c>
      <c r="D9" s="180">
        <f>(S9-V9)/(Q9-V9-Y9+AC9)</f>
        <v>0.27388535031847133</v>
      </c>
      <c r="E9" s="180">
        <f>Z9/P9</f>
        <v>0.53323262839879149</v>
      </c>
      <c r="F9" s="180">
        <f>(T9+U9+V9)/S9</f>
        <v>0.42134831460674155</v>
      </c>
      <c r="G9" s="180">
        <f>(Z9+W9)/P9</f>
        <v>0.74018126888217528</v>
      </c>
      <c r="H9" s="180">
        <f>(Z9/Q9)+((S9+X9+AA9)/(Q9+X9+AA9+AC9))</f>
        <v>0.89623256515414662</v>
      </c>
      <c r="I9" s="180">
        <f>V9/Z9</f>
        <v>0.13881019830028329</v>
      </c>
      <c r="J9" s="180">
        <f>(AB9+AC9)/Z9</f>
        <v>5.6657223796033997E-3</v>
      </c>
      <c r="K9" s="180">
        <f>Y9/P9</f>
        <v>0.1555891238670695</v>
      </c>
      <c r="L9" s="180">
        <f>(X9+AA9)/P9</f>
        <v>5.8912386706948643E-2</v>
      </c>
      <c r="M9" s="186">
        <f>(D9*0.7635+E9*0.7562+F9*0.75+G9*0.7248+H9*0.7021+I9*0.6285+1-J9*0.5884+1-K9*0.5276+L9*0.3663)/6.931</f>
        <v>0.5940673447238437</v>
      </c>
      <c r="N9" s="187">
        <f>M9/0.5181*100</f>
        <v>114.66267993125723</v>
      </c>
      <c r="O9" s="283">
        <f>(N9-100)/100*P9*0.3389</f>
        <v>32.895986354014354</v>
      </c>
      <c r="P9" s="197">
        <v>662</v>
      </c>
      <c r="Q9" s="188">
        <f>P9-X9-AA9-AB9-AC9</f>
        <v>621</v>
      </c>
      <c r="R9" s="188" t="s">
        <v>19</v>
      </c>
      <c r="S9" s="197">
        <v>178</v>
      </c>
      <c r="T9" s="197">
        <v>24</v>
      </c>
      <c r="U9" s="197">
        <v>2</v>
      </c>
      <c r="V9" s="197">
        <v>49</v>
      </c>
      <c r="W9" s="197">
        <v>137</v>
      </c>
      <c r="X9" s="197">
        <v>32</v>
      </c>
      <c r="Y9" s="197">
        <v>103</v>
      </c>
      <c r="Z9" s="188">
        <f>S9+T9+U9*2+V9*3</f>
        <v>353</v>
      </c>
      <c r="AA9" s="197">
        <v>7</v>
      </c>
      <c r="AB9" s="197">
        <v>0</v>
      </c>
      <c r="AC9" s="197">
        <v>2</v>
      </c>
      <c r="AD9" s="9"/>
      <c r="AE9" s="6">
        <v>2014</v>
      </c>
      <c r="AF9" s="77">
        <v>4.4239896916745049E-2</v>
      </c>
      <c r="AG9" s="85">
        <v>0.5030960685047513</v>
      </c>
      <c r="AH9" s="86">
        <v>0.49810635608904663</v>
      </c>
      <c r="AI9" s="76">
        <v>4.6159115745749721E-3</v>
      </c>
      <c r="AJ9" s="41">
        <v>8.9800000000000001E-3</v>
      </c>
      <c r="AK9" s="42">
        <v>7.3017305590744258E-3</v>
      </c>
      <c r="AL9" s="78">
        <v>6.94E-3</v>
      </c>
      <c r="AM9" s="9"/>
    </row>
    <row r="10" spans="1:39" x14ac:dyDescent="0.2">
      <c r="A10" s="9"/>
      <c r="B10" s="196">
        <v>2013</v>
      </c>
      <c r="C10" s="207" t="s">
        <v>342</v>
      </c>
      <c r="D10" s="180">
        <f>(S10-V10)/(Q10-V10-Y10+AC10)</f>
        <v>0.35268817204301073</v>
      </c>
      <c r="E10" s="180">
        <f>Z10/P10</f>
        <v>0.43916913946587538</v>
      </c>
      <c r="F10" s="180">
        <f>(T10+U10+V10)/S10</f>
        <v>0.34594594594594597</v>
      </c>
      <c r="G10" s="180">
        <f>(Z10+W10)/P10</f>
        <v>0.56379821958456977</v>
      </c>
      <c r="H10" s="180">
        <f>(Z10/Q10)+((S10+X10+AA10)/(Q10+X10+AA10+AC10))</f>
        <v>0.91127952725847572</v>
      </c>
      <c r="I10" s="180">
        <f>V10/Z10</f>
        <v>7.0945945945945943E-2</v>
      </c>
      <c r="J10" s="180">
        <f>(AB10+AC10)/Z10</f>
        <v>1.3513513513513514E-2</v>
      </c>
      <c r="K10" s="180">
        <f>Y10/P10</f>
        <v>0.14985163204747776</v>
      </c>
      <c r="L10" s="180">
        <f>(X10+AA10)/P10</f>
        <v>0.12908011869436201</v>
      </c>
      <c r="M10" s="186">
        <f>(D10*0.7635+E10*0.7562+F10*0.75+G10*0.7248+H10*0.7021+I10*0.6285+1-J10*0.5884+1-K10*0.5276+L10*0.3663)/6.931</f>
        <v>0.56473025390371323</v>
      </c>
      <c r="N10" s="187">
        <f>M10/0.5083*100</f>
        <v>111.10176153919207</v>
      </c>
      <c r="O10" s="283">
        <f>(N10-100)/100*P10*0.3389</f>
        <v>25.358488283160973</v>
      </c>
      <c r="P10" s="197">
        <v>674</v>
      </c>
      <c r="Q10" s="188">
        <f>P10-X10-AA10-AB10-AC10</f>
        <v>583</v>
      </c>
      <c r="R10" s="188" t="s">
        <v>19</v>
      </c>
      <c r="S10" s="197">
        <v>185</v>
      </c>
      <c r="T10" s="197">
        <v>38</v>
      </c>
      <c r="U10" s="197">
        <v>5</v>
      </c>
      <c r="V10" s="197">
        <v>21</v>
      </c>
      <c r="W10" s="197">
        <v>84</v>
      </c>
      <c r="X10" s="197">
        <v>78</v>
      </c>
      <c r="Y10" s="197">
        <v>101</v>
      </c>
      <c r="Z10" s="188">
        <f>S10+T10+U10*2+V10*3</f>
        <v>296</v>
      </c>
      <c r="AA10" s="197">
        <v>9</v>
      </c>
      <c r="AB10" s="197">
        <v>0</v>
      </c>
      <c r="AC10" s="197">
        <v>4</v>
      </c>
      <c r="AD10" s="9"/>
      <c r="AE10" s="6">
        <v>2013</v>
      </c>
      <c r="AF10" s="77">
        <v>4.4473773888020422E-2</v>
      </c>
      <c r="AG10" s="85">
        <v>0.50831784883894637</v>
      </c>
      <c r="AH10" s="86">
        <v>0.49483637420466781</v>
      </c>
      <c r="AI10" s="76">
        <v>4.1758396304490113E-3</v>
      </c>
      <c r="AJ10" s="41">
        <v>8.3099999999999997E-3</v>
      </c>
      <c r="AK10" s="42">
        <v>7.480811151439096E-3</v>
      </c>
      <c r="AL10" s="78">
        <v>6.5900000000000004E-3</v>
      </c>
      <c r="AM10" s="9"/>
    </row>
    <row r="11" spans="1:39" x14ac:dyDescent="0.2">
      <c r="A11" s="9"/>
      <c r="B11" s="196">
        <v>1923</v>
      </c>
      <c r="C11" s="207" t="s">
        <v>273</v>
      </c>
      <c r="D11" s="180">
        <f>(S11-V11)/(Q11-V11-Y11+AC11)</f>
        <v>0.42268041237113402</v>
      </c>
      <c r="E11" s="180">
        <f>Z11/P11</f>
        <v>0.57081545064377681</v>
      </c>
      <c r="F11" s="180">
        <f>(T11+U11+V11)/S11</f>
        <v>0.48292682926829267</v>
      </c>
      <c r="G11" s="180">
        <f>(Z11+W11)/P11</f>
        <v>0.75679542203147354</v>
      </c>
      <c r="H11" s="180">
        <f>(Z11/Q11)+((S11+X11+AA11)/(Q11+X11+AA11+AC11))</f>
        <v>1.3177960438385459</v>
      </c>
      <c r="I11" s="180">
        <f>V11/Z11</f>
        <v>0.10275689223057644</v>
      </c>
      <c r="J11" s="180">
        <f>(AB11+AC11)/Z11</f>
        <v>2.2556390977443608E-2</v>
      </c>
      <c r="K11" s="180">
        <f>Y11/P11</f>
        <v>0.13304721030042918</v>
      </c>
      <c r="L11" s="180">
        <f>(X11+AA11)/P11</f>
        <v>0.24892703862660945</v>
      </c>
      <c r="M11" s="186">
        <f>(D11*0.7635+E11*0.7562+F11*0.75+G11*0.7248+H11*0.7021+I11*0.6285+1-J11*0.5884+1-K11*0.5276+L11*0.3663)/6.931</f>
        <v>0.67271807491719349</v>
      </c>
      <c r="N11" s="187">
        <f>M11/0.5016*100</f>
        <v>134.11444874744686</v>
      </c>
      <c r="O11" s="283">
        <f>(N11-100)/100*P11*0.3389</f>
        <v>80.814092896763071</v>
      </c>
      <c r="P11" s="197">
        <v>699</v>
      </c>
      <c r="Q11" s="189">
        <f>P11-X11-AA11-AB11-AC11</f>
        <v>516</v>
      </c>
      <c r="R11" s="188" t="s">
        <v>19</v>
      </c>
      <c r="S11" s="197">
        <v>205</v>
      </c>
      <c r="T11" s="197">
        <v>45</v>
      </c>
      <c r="U11" s="197">
        <v>13</v>
      </c>
      <c r="V11" s="197">
        <v>41</v>
      </c>
      <c r="W11" s="197">
        <v>130</v>
      </c>
      <c r="X11" s="197">
        <v>170</v>
      </c>
      <c r="Y11" s="197">
        <v>93</v>
      </c>
      <c r="Z11" s="188">
        <f>S11+T11+U11*2+V11*3</f>
        <v>399</v>
      </c>
      <c r="AA11" s="197">
        <v>4</v>
      </c>
      <c r="AB11" s="197">
        <v>3</v>
      </c>
      <c r="AC11" s="199">
        <v>6</v>
      </c>
      <c r="AD11" s="9"/>
      <c r="AE11" s="6">
        <v>2012</v>
      </c>
      <c r="AF11" s="77">
        <v>4.485286133130633E-2</v>
      </c>
      <c r="AG11" s="85">
        <v>0.51285850718947035</v>
      </c>
      <c r="AH11" s="86">
        <v>0.49199292434674569</v>
      </c>
      <c r="AI11" s="76">
        <v>5.0331197741339991E-3</v>
      </c>
      <c r="AJ11" s="41">
        <v>8.1099999999999992E-3</v>
      </c>
      <c r="AK11" s="42">
        <v>8.0301878597024649E-3</v>
      </c>
      <c r="AL11" s="78">
        <v>6.6400000000000001E-3</v>
      </c>
      <c r="AM11" s="9"/>
    </row>
    <row r="12" spans="1:39" x14ac:dyDescent="0.2">
      <c r="A12" s="9"/>
      <c r="B12" s="196">
        <v>2001</v>
      </c>
      <c r="C12" s="207" t="s">
        <v>354</v>
      </c>
      <c r="D12" s="180">
        <f>(S12-V12)/(Q12-V12-Y12+AC12)</f>
        <v>0.26602564102564102</v>
      </c>
      <c r="E12" s="180">
        <f>Z12/P12</f>
        <v>0.61897590361445787</v>
      </c>
      <c r="F12" s="228">
        <f>(T12+U12+V12)/S12</f>
        <v>0.6858974358974359</v>
      </c>
      <c r="G12" s="180">
        <f>(Z12+W12)/P12</f>
        <v>0.82530120481927716</v>
      </c>
      <c r="H12" s="180">
        <f>(Z12/Q12)+((S12+X12+AA12)/(Q12+X12+AA12+AC12))</f>
        <v>1.3785056191151159</v>
      </c>
      <c r="I12" s="228">
        <f>V12/Z12</f>
        <v>0.17761557177615572</v>
      </c>
      <c r="J12" s="180">
        <f>(AB12+AC12)/Z12</f>
        <v>4.8661800486618006E-3</v>
      </c>
      <c r="K12" s="180">
        <f>Y12/P12</f>
        <v>0.14006024096385541</v>
      </c>
      <c r="L12" s="180">
        <f>(X12+AA12)/P12</f>
        <v>0.28012048192771083</v>
      </c>
      <c r="M12" s="229">
        <f>(D12*0.7635+E12*0.7562+F12*0.75+G12*0.7248+H12*0.7021+I12*0.6285+1-J12*0.5884+1-K12*0.5276+L12*0.3663)/6.931</f>
        <v>0.70539760734546442</v>
      </c>
      <c r="N12" s="187">
        <f>M12/0.5241*100</f>
        <v>134.59217846698422</v>
      </c>
      <c r="O12" s="283">
        <f>(N12-100)/100*P12*0.3389</f>
        <v>77.842640835540735</v>
      </c>
      <c r="P12" s="197">
        <v>664</v>
      </c>
      <c r="Q12" s="188">
        <f>P12-X12-AA12-AB12-AC12</f>
        <v>476</v>
      </c>
      <c r="R12" s="188" t="s">
        <v>19</v>
      </c>
      <c r="S12" s="197">
        <v>156</v>
      </c>
      <c r="T12" s="197">
        <v>32</v>
      </c>
      <c r="U12" s="197">
        <v>2</v>
      </c>
      <c r="V12" s="197">
        <v>73</v>
      </c>
      <c r="W12" s="197">
        <v>137</v>
      </c>
      <c r="X12" s="197">
        <v>177</v>
      </c>
      <c r="Y12" s="197">
        <v>93</v>
      </c>
      <c r="Z12" s="188">
        <f>S12+T12+U12*2+V12*3</f>
        <v>411</v>
      </c>
      <c r="AA12" s="197">
        <v>9</v>
      </c>
      <c r="AB12" s="197">
        <v>0</v>
      </c>
      <c r="AC12" s="197">
        <v>2</v>
      </c>
      <c r="AD12" s="9"/>
      <c r="AE12" s="6">
        <v>2011</v>
      </c>
      <c r="AF12" s="77">
        <v>4.5339955194472183E-2</v>
      </c>
      <c r="AG12" s="85">
        <v>0.50984718062050649</v>
      </c>
      <c r="AH12" s="86">
        <v>0.49387867646542005</v>
      </c>
      <c r="AI12" s="76">
        <v>4.8476342141488297E-3</v>
      </c>
      <c r="AJ12" s="41">
        <v>8.3899999999999999E-3</v>
      </c>
      <c r="AK12" s="42">
        <v>8.9988933574455445E-3</v>
      </c>
      <c r="AL12" s="78">
        <v>6.8799999999999998E-3</v>
      </c>
      <c r="AM12" s="9"/>
    </row>
    <row r="13" spans="1:39" x14ac:dyDescent="0.2">
      <c r="A13" s="9"/>
      <c r="B13" s="196">
        <v>2002</v>
      </c>
      <c r="C13" s="207" t="s">
        <v>354</v>
      </c>
      <c r="D13" s="180">
        <f>(S13-V13)/(Q13-V13-Y13+AC13)</f>
        <v>0.33012820512820512</v>
      </c>
      <c r="E13" s="180">
        <f>Z13/P13</f>
        <v>0.52614379084967322</v>
      </c>
      <c r="F13" s="180">
        <f>(T13+U13+V13)/S13</f>
        <v>0.53020134228187921</v>
      </c>
      <c r="G13" s="180">
        <f>(Z13+W13)/P13</f>
        <v>0.70588235294117652</v>
      </c>
      <c r="H13" s="180">
        <f>(Z13/Q13)+((S13+X13+AA13)/(Q13+X13+AA13+AC13))</f>
        <v>1.3807067905739632</v>
      </c>
      <c r="I13" s="180">
        <f>V13/Z13</f>
        <v>0.14285714285714285</v>
      </c>
      <c r="J13" s="180">
        <f>(AB13+AC13)/Z13</f>
        <v>6.2111801242236021E-3</v>
      </c>
      <c r="K13" s="180">
        <f>Y13/P13</f>
        <v>7.6797385620915037E-2</v>
      </c>
      <c r="L13" s="180">
        <f>(X13+AA13)/P13</f>
        <v>0.33823529411764708</v>
      </c>
      <c r="M13" s="186">
        <f>(D13*0.7635+E13*0.7562+F13*0.75+G13*0.7248+H13*0.7021+I13*0.6285+1-J13*0.5884+1-K13*0.5276+L13*0.3663)/6.931</f>
        <v>0.67783868655654045</v>
      </c>
      <c r="N13" s="187">
        <f>M13/0.5194*100</f>
        <v>130.50417530930699</v>
      </c>
      <c r="O13" s="283">
        <f>(N13-100)/100*P13*0.3389</f>
        <v>63.267733875423716</v>
      </c>
      <c r="P13" s="197">
        <v>612</v>
      </c>
      <c r="Q13" s="188">
        <f>P13-X13-AA13-AB13-AC13</f>
        <v>403</v>
      </c>
      <c r="R13" s="188" t="s">
        <v>19</v>
      </c>
      <c r="S13" s="197">
        <v>149</v>
      </c>
      <c r="T13" s="197">
        <v>31</v>
      </c>
      <c r="U13" s="197">
        <v>2</v>
      </c>
      <c r="V13" s="197">
        <v>46</v>
      </c>
      <c r="W13" s="197">
        <v>110</v>
      </c>
      <c r="X13" s="197">
        <v>198</v>
      </c>
      <c r="Y13" s="197">
        <v>47</v>
      </c>
      <c r="Z13" s="188">
        <f>S13+T13+U13*2+V13*3</f>
        <v>322</v>
      </c>
      <c r="AA13" s="197">
        <v>9</v>
      </c>
      <c r="AB13" s="197">
        <v>0</v>
      </c>
      <c r="AC13" s="197">
        <v>2</v>
      </c>
      <c r="AD13" s="9"/>
      <c r="AE13" s="6">
        <v>2010</v>
      </c>
      <c r="AF13" s="77">
        <v>4.5733563995192746E-2</v>
      </c>
      <c r="AG13" s="85">
        <v>0.51222353863219616</v>
      </c>
      <c r="AH13" s="86">
        <v>0.49239055418686745</v>
      </c>
      <c r="AI13" s="76">
        <v>4.667130146103809E-3</v>
      </c>
      <c r="AJ13" s="41">
        <v>8.3499999999999998E-3</v>
      </c>
      <c r="AK13" s="42">
        <v>8.3210726854321942E-3</v>
      </c>
      <c r="AL13" s="78">
        <v>7.0099999999999997E-3</v>
      </c>
      <c r="AM13" s="9"/>
    </row>
    <row r="14" spans="1:39" x14ac:dyDescent="0.2">
      <c r="A14" s="9"/>
      <c r="B14" s="196">
        <v>2004</v>
      </c>
      <c r="C14" s="207" t="s">
        <v>354</v>
      </c>
      <c r="D14" s="180">
        <f>(S14-V14)/(Q14-V14-Y14+AC14)</f>
        <v>0.31034482758620691</v>
      </c>
      <c r="E14" s="180">
        <f>Z14/P14</f>
        <v>0.49108589951377635</v>
      </c>
      <c r="F14" s="180">
        <f>(T14+U14+V14)/S14</f>
        <v>0.55555555555555558</v>
      </c>
      <c r="G14" s="180">
        <f>(Z14+W14)/P14</f>
        <v>0.65478119935170176</v>
      </c>
      <c r="H14" s="228">
        <f>(Z14/Q14)+((S14+X14+AA14)/(Q14+X14+AA14+AC14))</f>
        <v>1.4217327638273929</v>
      </c>
      <c r="I14" s="180">
        <f>V14/Z14</f>
        <v>0.14851485148514851</v>
      </c>
      <c r="J14" s="180">
        <f>(AB14+AC14)/Z14</f>
        <v>9.9009900990099011E-3</v>
      </c>
      <c r="K14" s="180">
        <f>Y14/P14</f>
        <v>6.6450567260940036E-2</v>
      </c>
      <c r="L14" s="228">
        <f>(X14+AA14)/P14</f>
        <v>0.39059967585089139</v>
      </c>
      <c r="M14" s="186">
        <f>(D14*0.7635+E14*0.7562+F14*0.75+G14*0.7248+H14*0.7021+I14*0.6285+1-J14*0.5884+1-K14*0.5276+L14*0.3663)/6.931</f>
        <v>0.6771448954084327</v>
      </c>
      <c r="N14" s="187">
        <f>M14/0.5246*100</f>
        <v>129.07832546862997</v>
      </c>
      <c r="O14" s="283">
        <f>(N14-100)/100*P14*0.3389</f>
        <v>60.803156573136356</v>
      </c>
      <c r="P14" s="197">
        <v>617</v>
      </c>
      <c r="Q14" s="188">
        <f>P14-X14-AA14-AB14-AC14</f>
        <v>373</v>
      </c>
      <c r="R14" s="188" t="s">
        <v>19</v>
      </c>
      <c r="S14" s="197">
        <v>135</v>
      </c>
      <c r="T14" s="197">
        <v>27</v>
      </c>
      <c r="U14" s="197">
        <v>3</v>
      </c>
      <c r="V14" s="197">
        <v>45</v>
      </c>
      <c r="W14" s="197">
        <v>101</v>
      </c>
      <c r="X14" s="197">
        <v>232</v>
      </c>
      <c r="Y14" s="197">
        <v>41</v>
      </c>
      <c r="Z14" s="188">
        <f>S14+T14+U14*2+V14*3</f>
        <v>303</v>
      </c>
      <c r="AA14" s="197">
        <v>9</v>
      </c>
      <c r="AB14" s="197">
        <v>0</v>
      </c>
      <c r="AC14" s="197">
        <v>3</v>
      </c>
      <c r="AD14" s="9"/>
      <c r="AE14" s="6">
        <v>2009</v>
      </c>
      <c r="AF14" s="77">
        <v>4.6702195329245931E-2</v>
      </c>
      <c r="AG14" s="85">
        <v>0.51966329080371787</v>
      </c>
      <c r="AH14" s="86">
        <v>0.487731634571687</v>
      </c>
      <c r="AI14" s="76">
        <v>5.0727232880227067E-3</v>
      </c>
      <c r="AJ14" s="41">
        <v>8.5000000000000006E-3</v>
      </c>
      <c r="AK14" s="42">
        <v>8.7396233676682051E-3</v>
      </c>
      <c r="AL14" s="78">
        <v>7.3000000000000001E-3</v>
      </c>
      <c r="AM14" s="9"/>
    </row>
    <row r="15" spans="1:39" x14ac:dyDescent="0.2">
      <c r="A15" s="9"/>
      <c r="B15" s="196">
        <v>2003</v>
      </c>
      <c r="C15" s="207" t="s">
        <v>354</v>
      </c>
      <c r="D15" s="180">
        <f>(S15-V15)/(Q15-V15-Y15+AC15)</f>
        <v>0.30449826989619377</v>
      </c>
      <c r="E15" s="180">
        <f>Z15/P15</f>
        <v>0.53090909090909089</v>
      </c>
      <c r="F15" s="180">
        <f>(T15+U15+V15)/S15</f>
        <v>0.51127819548872178</v>
      </c>
      <c r="G15" s="180">
        <f>(Z15+W15)/P15</f>
        <v>0.69454545454545458</v>
      </c>
      <c r="H15" s="180">
        <f>(Z15/Q15)+((S15+X15+AA15)/(Q15+X15+AA15+AC15))</f>
        <v>1.2778088578088578</v>
      </c>
      <c r="I15" s="180">
        <f>V15/Z15</f>
        <v>0.1541095890410959</v>
      </c>
      <c r="J15" s="180">
        <f>(AB15+AC15)/Z15</f>
        <v>6.8493150684931503E-3</v>
      </c>
      <c r="K15" s="180">
        <f>Y15/P15</f>
        <v>0.10545454545454545</v>
      </c>
      <c r="L15" s="180">
        <f>(X15+AA15)/P15</f>
        <v>0.28727272727272729</v>
      </c>
      <c r="M15" s="186">
        <f>(D15*0.7635+E15*0.7562+F15*0.75+G15*0.7248+H15*0.7021+I15*0.6285+1-J15*0.5884+1-K15*0.5276+L15*0.3663)/6.931</f>
        <v>0.65797007593335655</v>
      </c>
      <c r="N15" s="187">
        <f>M15/0.5222*100</f>
        <v>125.99963154602769</v>
      </c>
      <c r="O15" s="283">
        <f>(N15-100)/100*P15*0.3389</f>
        <v>48.462013220218303</v>
      </c>
      <c r="P15" s="197">
        <v>550</v>
      </c>
      <c r="Q15" s="188">
        <f>P15-X15-AA15-AB15-AC15</f>
        <v>390</v>
      </c>
      <c r="R15" s="188" t="s">
        <v>19</v>
      </c>
      <c r="S15" s="197">
        <v>133</v>
      </c>
      <c r="T15" s="197">
        <v>22</v>
      </c>
      <c r="U15" s="197">
        <v>1</v>
      </c>
      <c r="V15" s="197">
        <v>45</v>
      </c>
      <c r="W15" s="197">
        <v>90</v>
      </c>
      <c r="X15" s="197">
        <v>148</v>
      </c>
      <c r="Y15" s="197">
        <v>58</v>
      </c>
      <c r="Z15" s="188">
        <f>S15+T15+U15*2+V15*3</f>
        <v>292</v>
      </c>
      <c r="AA15" s="197">
        <v>10</v>
      </c>
      <c r="AB15" s="197">
        <v>0</v>
      </c>
      <c r="AC15" s="197">
        <v>2</v>
      </c>
      <c r="AD15" s="9"/>
      <c r="AE15" s="6">
        <v>2008</v>
      </c>
      <c r="AF15" s="77">
        <v>4.8041101950104192E-2</v>
      </c>
      <c r="AG15" s="85">
        <v>0.51947502005651314</v>
      </c>
      <c r="AH15" s="86">
        <v>0.48784953342865089</v>
      </c>
      <c r="AI15" s="76">
        <v>4.7220342054351359E-3</v>
      </c>
      <c r="AJ15" s="41">
        <v>8.9099999999999995E-3</v>
      </c>
      <c r="AK15" s="42">
        <v>8.1329844215508092E-3</v>
      </c>
      <c r="AL15" s="78">
        <v>7.2700000000000004E-3</v>
      </c>
      <c r="AM15" s="9"/>
    </row>
    <row r="16" spans="1:39" x14ac:dyDescent="0.2">
      <c r="A16" s="9"/>
      <c r="B16" s="196">
        <v>1993</v>
      </c>
      <c r="C16" s="207" t="s">
        <v>354</v>
      </c>
      <c r="D16" s="180">
        <f>(S16-V16)/(Q16-V16-Y16+AC16)</f>
        <v>0.32066508313539194</v>
      </c>
      <c r="E16" s="180">
        <f>Z16/P16</f>
        <v>0.54154302670623145</v>
      </c>
      <c r="F16" s="180">
        <f>(T16+U16+V16)/S16</f>
        <v>0.48618784530386738</v>
      </c>
      <c r="G16" s="180">
        <f>(Z16+W16)/P16</f>
        <v>0.72403560830860536</v>
      </c>
      <c r="H16" s="180">
        <f>(Z16/Q16)+((S16+X16+AA16)/(Q16+X16+AA16+AC16))</f>
        <v>1.1356369361880172</v>
      </c>
      <c r="I16" s="180">
        <f>V16/Z16</f>
        <v>0.12602739726027398</v>
      </c>
      <c r="J16" s="180">
        <f>(AB16+AC16)/Z16</f>
        <v>1.9178082191780823E-2</v>
      </c>
      <c r="K16" s="180">
        <f>Y16/P16</f>
        <v>0.1172106824925816</v>
      </c>
      <c r="L16" s="180">
        <f>(X16+AA16)/P16</f>
        <v>0.18991097922848665</v>
      </c>
      <c r="M16" s="186">
        <f>(D16*0.7635+E16*0.7562+F16*0.75+G16*0.7248+H16*0.7021+I16*0.6285+1-J16*0.5884+1-K16*0.5276+L16*0.3663)/6.931</f>
        <v>0.63724470996558302</v>
      </c>
      <c r="N16" s="187">
        <f>M16/0.5113*100</f>
        <v>124.63225307365207</v>
      </c>
      <c r="O16" s="283">
        <f>(N16-100)/100*P16*0.3389</f>
        <v>56.264647619293015</v>
      </c>
      <c r="P16" s="197">
        <v>674</v>
      </c>
      <c r="Q16" s="188">
        <f>P16-X16-AA16-AB16-AC16</f>
        <v>539</v>
      </c>
      <c r="R16" s="188" t="s">
        <v>19</v>
      </c>
      <c r="S16" s="197">
        <v>181</v>
      </c>
      <c r="T16" s="197">
        <v>38</v>
      </c>
      <c r="U16" s="197">
        <v>4</v>
      </c>
      <c r="V16" s="197">
        <v>46</v>
      </c>
      <c r="W16" s="197">
        <v>123</v>
      </c>
      <c r="X16" s="197">
        <v>126</v>
      </c>
      <c r="Y16" s="197">
        <v>79</v>
      </c>
      <c r="Z16" s="188">
        <f>S16+T16+U16*2+V16*3</f>
        <v>365</v>
      </c>
      <c r="AA16" s="197">
        <v>2</v>
      </c>
      <c r="AB16" s="197">
        <v>0</v>
      </c>
      <c r="AC16" s="197">
        <v>7</v>
      </c>
      <c r="AD16" s="9"/>
      <c r="AE16" s="6">
        <v>2007</v>
      </c>
      <c r="AF16" s="77">
        <v>4.8758634949078318E-2</v>
      </c>
      <c r="AG16" s="85">
        <v>0.52253591025770185</v>
      </c>
      <c r="AH16" s="86">
        <v>0.48593274358545985</v>
      </c>
      <c r="AI16" s="76">
        <v>4.9728824162482838E-3</v>
      </c>
      <c r="AJ16" s="41">
        <v>9.2999999999999992E-3</v>
      </c>
      <c r="AK16" s="42">
        <v>8.1644338177210632E-3</v>
      </c>
      <c r="AL16" s="78">
        <v>7.6400000000000001E-3</v>
      </c>
      <c r="AM16" s="9"/>
    </row>
    <row r="17" spans="1:39" x14ac:dyDescent="0.2">
      <c r="A17" s="9"/>
      <c r="B17" s="196">
        <v>1992</v>
      </c>
      <c r="C17" s="207" t="s">
        <v>354</v>
      </c>
      <c r="D17" s="180">
        <f>(S17-V17)/(Q17-V17-Y17+AC17)</f>
        <v>0.29973474801061006</v>
      </c>
      <c r="E17" s="180">
        <f>Z17/P17</f>
        <v>0.48202614379084968</v>
      </c>
      <c r="F17" s="180">
        <f>(T17+U17+V17)/S17</f>
        <v>0.51020408163265307</v>
      </c>
      <c r="G17" s="180">
        <f>(Z17+W17)/P17</f>
        <v>0.65032679738562094</v>
      </c>
      <c r="H17" s="180">
        <f>(Z17/Q17)+((S17+X17+AA17)/(Q17+X17+AA17+AC17))</f>
        <v>1.0795609998756373</v>
      </c>
      <c r="I17" s="180">
        <f>V17/Z17</f>
        <v>0.11525423728813559</v>
      </c>
      <c r="J17" s="180">
        <f>(AB17+AC17)/Z17</f>
        <v>2.3728813559322035E-2</v>
      </c>
      <c r="K17" s="180">
        <f>Y17/P17</f>
        <v>0.11274509803921569</v>
      </c>
      <c r="L17" s="180">
        <f>(X17+AA17)/P17</f>
        <v>0.21568627450980393</v>
      </c>
      <c r="M17" s="186">
        <f>(D17*0.7635+E17*0.7562+F17*0.75+G17*0.7248+H17*0.7021+I17*0.6285+1-J17*0.5884+1-K17*0.5276+L17*0.3663)/6.931</f>
        <v>0.61799483117699516</v>
      </c>
      <c r="N17" s="187">
        <f>M17/0.4982*100</f>
        <v>124.04553014391715</v>
      </c>
      <c r="O17" s="283">
        <f>(N17-100)/100*P17*0.3389</f>
        <v>49.872064614533947</v>
      </c>
      <c r="P17" s="197">
        <v>612</v>
      </c>
      <c r="Q17" s="188">
        <f>P17-X17-AA17-AB17-AC17</f>
        <v>473</v>
      </c>
      <c r="R17" s="188" t="s">
        <v>19</v>
      </c>
      <c r="S17" s="197">
        <v>147</v>
      </c>
      <c r="T17" s="197">
        <v>36</v>
      </c>
      <c r="U17" s="197">
        <v>5</v>
      </c>
      <c r="V17" s="197">
        <v>34</v>
      </c>
      <c r="W17" s="197">
        <v>103</v>
      </c>
      <c r="X17" s="197">
        <v>127</v>
      </c>
      <c r="Y17" s="197">
        <v>69</v>
      </c>
      <c r="Z17" s="188">
        <f>S17+T17+U17*2+V17*3</f>
        <v>295</v>
      </c>
      <c r="AA17" s="197">
        <v>5</v>
      </c>
      <c r="AB17" s="197">
        <v>0</v>
      </c>
      <c r="AC17" s="197">
        <v>7</v>
      </c>
      <c r="AD17" s="9"/>
      <c r="AE17" s="6">
        <v>2006</v>
      </c>
      <c r="AF17" s="77">
        <v>4.8572081820163662E-2</v>
      </c>
      <c r="AG17" s="85">
        <v>0.52668968436169938</v>
      </c>
      <c r="AH17" s="86">
        <v>0.48333156827692997</v>
      </c>
      <c r="AI17" s="76">
        <v>5.0619181053963664E-3</v>
      </c>
      <c r="AJ17" s="41">
        <v>9.6600000000000002E-3</v>
      </c>
      <c r="AK17" s="42">
        <v>8.7785995714384467E-3</v>
      </c>
      <c r="AL17" s="78">
        <v>7.4200000000000004E-3</v>
      </c>
      <c r="AM17" s="9"/>
    </row>
    <row r="18" spans="1:39" x14ac:dyDescent="0.2">
      <c r="A18" s="9"/>
      <c r="B18" s="196">
        <v>1990</v>
      </c>
      <c r="C18" s="207" t="s">
        <v>354</v>
      </c>
      <c r="D18" s="180">
        <f>(S18-V18)/(Q18-V18-Y18+AC18)</f>
        <v>0.30073349633251834</v>
      </c>
      <c r="E18" s="180">
        <f>Z18/P18</f>
        <v>0.4718196457326892</v>
      </c>
      <c r="F18" s="180">
        <f>(T18+U18+V18)/S18</f>
        <v>0.4358974358974359</v>
      </c>
      <c r="G18" s="180">
        <f>(Z18+W18)/P18</f>
        <v>0.65539452495974238</v>
      </c>
      <c r="H18" s="180">
        <f>(Z18/Q18)+((S18+X18+AA18)/(Q18+X18+AA18+AC18))</f>
        <v>0.9703443076149787</v>
      </c>
      <c r="I18" s="180">
        <f>V18/Z18</f>
        <v>0.11262798634812286</v>
      </c>
      <c r="J18" s="180">
        <f>(AB18+AC18)/Z18</f>
        <v>2.0477815699658702E-2</v>
      </c>
      <c r="K18" s="180">
        <f>Y18/P18</f>
        <v>0.13365539452495975</v>
      </c>
      <c r="L18" s="180">
        <f>(X18+AA18)/P18</f>
        <v>0.15458937198067632</v>
      </c>
      <c r="M18" s="186">
        <f>(D18*0.7635+E18*0.7562+F18*0.75+G18*0.7248+H18*0.7021+I18*0.6285+1-J18*0.5884+1-K18*0.5276+L18*0.3663)/6.931</f>
        <v>0.59363423041560814</v>
      </c>
      <c r="N18" s="187">
        <f>M18/0.5025*100</f>
        <v>118.13616525683746</v>
      </c>
      <c r="O18" s="283">
        <f>(N18-100)/100*P18*0.3389</f>
        <v>38.168811178417151</v>
      </c>
      <c r="P18" s="197">
        <v>621</v>
      </c>
      <c r="Q18" s="188">
        <f>P18-X18-AA18-AB18-AC18</f>
        <v>519</v>
      </c>
      <c r="R18" s="188" t="s">
        <v>19</v>
      </c>
      <c r="S18" s="197">
        <v>156</v>
      </c>
      <c r="T18" s="197">
        <v>32</v>
      </c>
      <c r="U18" s="197">
        <v>3</v>
      </c>
      <c r="V18" s="197">
        <v>33</v>
      </c>
      <c r="W18" s="197">
        <v>114</v>
      </c>
      <c r="X18" s="197">
        <v>93</v>
      </c>
      <c r="Y18" s="197">
        <v>83</v>
      </c>
      <c r="Z18" s="188">
        <f>S18+T18+U18*2+V18*3</f>
        <v>293</v>
      </c>
      <c r="AA18" s="197">
        <v>3</v>
      </c>
      <c r="AB18" s="197">
        <v>0</v>
      </c>
      <c r="AC18" s="197">
        <v>6</v>
      </c>
      <c r="AD18" s="9"/>
      <c r="AE18" s="6">
        <v>2005</v>
      </c>
      <c r="AF18" s="77">
        <v>4.7575848667682989E-2</v>
      </c>
      <c r="AG18" s="85">
        <v>0.52041670633403203</v>
      </c>
      <c r="AH18" s="86">
        <v>0.48725983089978531</v>
      </c>
      <c r="AI18" s="76">
        <v>4.7667103257252059E-3</v>
      </c>
      <c r="AJ18" s="41">
        <v>9.6500000000000006E-3</v>
      </c>
      <c r="AK18" s="42">
        <v>8.6960255942284161E-3</v>
      </c>
      <c r="AL18" s="78">
        <v>7.0600000000000003E-3</v>
      </c>
      <c r="AM18" s="9"/>
    </row>
    <row r="19" spans="1:39" x14ac:dyDescent="0.2">
      <c r="A19" s="9"/>
      <c r="B19" s="196">
        <v>1995</v>
      </c>
      <c r="C19" s="207" t="s">
        <v>48</v>
      </c>
      <c r="D19" s="180">
        <f>(S19-V19)/(Q19-V19-Y19+AC19)</f>
        <v>0.32798165137614677</v>
      </c>
      <c r="E19" s="180">
        <f>Z19/P19</f>
        <v>0.43033509700176364</v>
      </c>
      <c r="F19" s="180">
        <f>(T19+U19+V19)/S19</f>
        <v>0.31645569620253167</v>
      </c>
      <c r="G19" s="180">
        <f>(Z19+W19)/P19</f>
        <v>0.54673721340388004</v>
      </c>
      <c r="H19" s="180">
        <f>(Z19/Q19)+((S19+X19+AA19)/(Q19+X19+AA19+AC19))</f>
        <v>0.88555250514756345</v>
      </c>
      <c r="I19" s="180">
        <f>V19/Z19</f>
        <v>6.1475409836065573E-2</v>
      </c>
      <c r="J19" s="180">
        <f>(AB19+AC19)/Z19</f>
        <v>2.8688524590163935E-2</v>
      </c>
      <c r="K19" s="180">
        <f>Y19/P19</f>
        <v>8.6419753086419748E-2</v>
      </c>
      <c r="L19" s="180">
        <f>(X19+AA19)/P19</f>
        <v>0.1128747795414462</v>
      </c>
      <c r="M19" s="186">
        <f>(D19*0.7635+E19*0.7562+F19*0.75+G19*0.7248+H19*0.7021+I19*0.6285+1-J19*0.5884+1-K19*0.5276+L19*0.3663)/6.931</f>
        <v>0.55528850767570459</v>
      </c>
      <c r="N19" s="187">
        <f>M19/0.5191*100</f>
        <v>106.97139427387874</v>
      </c>
      <c r="O19" s="283">
        <f>(N19-100)/100*P19*0.3389</f>
        <v>13.395973295097258</v>
      </c>
      <c r="P19" s="197">
        <v>567</v>
      </c>
      <c r="Q19" s="188">
        <f>P19-X19-AA19-AB19-AC19</f>
        <v>496</v>
      </c>
      <c r="R19" s="188" t="s">
        <v>19</v>
      </c>
      <c r="S19" s="197">
        <v>158</v>
      </c>
      <c r="T19" s="197">
        <v>29</v>
      </c>
      <c r="U19" s="197">
        <v>6</v>
      </c>
      <c r="V19" s="197">
        <v>15</v>
      </c>
      <c r="W19" s="197">
        <v>66</v>
      </c>
      <c r="X19" s="197">
        <v>61</v>
      </c>
      <c r="Y19" s="197">
        <v>49</v>
      </c>
      <c r="Z19" s="188">
        <f>S19+T19+U19*2+V19*3</f>
        <v>244</v>
      </c>
      <c r="AA19" s="197">
        <v>3</v>
      </c>
      <c r="AB19" s="197">
        <v>3</v>
      </c>
      <c r="AC19" s="197">
        <v>4</v>
      </c>
      <c r="AD19" s="9"/>
      <c r="AE19" s="6">
        <v>2004</v>
      </c>
      <c r="AF19" s="77">
        <v>4.7305862447557266E-2</v>
      </c>
      <c r="AG19" s="85">
        <v>0.524617865652383</v>
      </c>
      <c r="AH19" s="86">
        <v>0.48462898203499583</v>
      </c>
      <c r="AI19" s="76">
        <v>4.7629402935201737E-3</v>
      </c>
      <c r="AJ19" s="41">
        <v>9.8099999999999993E-3</v>
      </c>
      <c r="AK19" s="42">
        <v>9.1811243297142773E-3</v>
      </c>
      <c r="AL19" s="78">
        <v>7.2300000000000003E-3</v>
      </c>
      <c r="AM19" s="9"/>
    </row>
    <row r="20" spans="1:39" x14ac:dyDescent="0.2">
      <c r="A20" s="9"/>
      <c r="B20" s="196">
        <v>1947</v>
      </c>
      <c r="C20" s="207" t="s">
        <v>399</v>
      </c>
      <c r="D20" s="180">
        <f>(S20-V20)/(Q20-V20-Y20+AC20)</f>
        <v>0.32558139534883723</v>
      </c>
      <c r="E20" s="180">
        <f>Z20/P20</f>
        <v>0.4449612403100775</v>
      </c>
      <c r="F20" s="180">
        <f>(T20+U20+V20)/S20</f>
        <v>0.35227272727272729</v>
      </c>
      <c r="G20" s="180">
        <f>(Z20+W20)/P20</f>
        <v>0.62015503875968991</v>
      </c>
      <c r="H20" s="180">
        <f>(Z20/Q20)+((S20+X20+AA20)/(Q20+X20+AA20+AC20))</f>
        <v>0.93147550269045598</v>
      </c>
      <c r="I20" s="180">
        <f>V20/Z20</f>
        <v>7.6655052264808357E-2</v>
      </c>
      <c r="J20" s="180">
        <f>(AB20+AC20)/Z20</f>
        <v>2.7874564459930314E-2</v>
      </c>
      <c r="K20" s="180">
        <f>Y20/P20</f>
        <v>9.3023255813953487E-2</v>
      </c>
      <c r="L20" s="180">
        <f>(X20+AA20)/P20</f>
        <v>0.13488372093023257</v>
      </c>
      <c r="M20" s="186">
        <f>(D20*0.7635+E20*0.7562+F20*0.75+G20*0.7248+H20*0.7021+I20*0.6285+1-J20*0.5884+1-K20*0.5276+L20*0.3663)/6.931</f>
        <v>0.57493119276978311</v>
      </c>
      <c r="N20" s="187">
        <f>M20/0.4984*100</f>
        <v>115.35537575637701</v>
      </c>
      <c r="O20" s="283">
        <f>(N20-100)/100*P20*0.3389</f>
        <v>33.565392642743298</v>
      </c>
      <c r="P20" s="197">
        <v>645</v>
      </c>
      <c r="Q20" s="189">
        <f>P20-X20-AA20-AB20-AC20</f>
        <v>550</v>
      </c>
      <c r="R20" s="188" t="s">
        <v>19</v>
      </c>
      <c r="S20" s="197">
        <v>176</v>
      </c>
      <c r="T20" s="197">
        <v>35</v>
      </c>
      <c r="U20" s="197">
        <v>5</v>
      </c>
      <c r="V20" s="197">
        <v>22</v>
      </c>
      <c r="W20" s="197">
        <v>113</v>
      </c>
      <c r="X20" s="197">
        <v>87</v>
      </c>
      <c r="Y20" s="197">
        <v>60</v>
      </c>
      <c r="Z20" s="188">
        <f>S20+T20+U20*2+V20*3</f>
        <v>287</v>
      </c>
      <c r="AA20" s="197">
        <v>0</v>
      </c>
      <c r="AB20" s="197">
        <v>3</v>
      </c>
      <c r="AC20" s="199">
        <v>5</v>
      </c>
      <c r="AD20" s="9"/>
      <c r="AE20" s="6">
        <v>2003</v>
      </c>
      <c r="AF20" s="77">
        <v>4.7090141851917053E-2</v>
      </c>
      <c r="AG20" s="85">
        <v>0.52222897637145071</v>
      </c>
      <c r="AH20" s="86">
        <v>0.48612495164162228</v>
      </c>
      <c r="AI20" s="76">
        <v>4.9826886246392352E-3</v>
      </c>
      <c r="AJ20" s="41">
        <v>9.8600000000000007E-3</v>
      </c>
      <c r="AK20" s="42">
        <v>8.6743594257638074E-3</v>
      </c>
      <c r="AL20" s="78">
        <v>7.1300000000000001E-3</v>
      </c>
      <c r="AM20" s="9"/>
    </row>
    <row r="21" spans="1:39" x14ac:dyDescent="0.2">
      <c r="A21" s="9"/>
      <c r="B21" s="210">
        <v>1968</v>
      </c>
      <c r="C21" s="211" t="s">
        <v>139</v>
      </c>
      <c r="D21" s="181">
        <f>(S21-V21)/(Q21-V21-Y21+AC21)</f>
        <v>0.23433583959899748</v>
      </c>
      <c r="E21" s="227">
        <f>Z21/P21</f>
        <v>0.21877691645133507</v>
      </c>
      <c r="F21" s="181">
        <f>(T21+U21+V21)/S21</f>
        <v>0.17171717171717171</v>
      </c>
      <c r="G21" s="227">
        <f>(Z21+R21)/P21</f>
        <v>0.26098191214470284</v>
      </c>
      <c r="H21" s="227">
        <f>(Z21/Q21)+((S21+X21+AA21)/(Q21+X21+AA21+AC21))</f>
        <v>0.46926336296115911</v>
      </c>
      <c r="I21" s="181">
        <f>V21/Z21</f>
        <v>4.3307086614173228E-2</v>
      </c>
      <c r="J21" s="181">
        <f>(AB21+AC21)/Z21</f>
        <v>6.6929133858267723E-2</v>
      </c>
      <c r="K21" s="181">
        <f>Y21/P21</f>
        <v>0.23083548664944015</v>
      </c>
      <c r="L21" s="181">
        <f>(X21+AA21)/P21</f>
        <v>5.9431524547803614E-2</v>
      </c>
      <c r="M21" s="230">
        <f>(1-D21*0.7635+1-E21*0.7562+1-F21*0.75+1-G21*0.7248+1-H21*0.7021+1-I21*0.6285+J21*0.5884+K21*0.5276+1-L21*0.3663)/11.068</f>
        <v>0.55298244851281697</v>
      </c>
      <c r="N21" s="191">
        <f>M21/0.5146*100</f>
        <v>107.45869578562322</v>
      </c>
      <c r="O21" s="192">
        <f>(N21-100)/100*P21*0.6611</f>
        <v>57.248257330794686</v>
      </c>
      <c r="P21" s="197">
        <v>1161</v>
      </c>
      <c r="Q21" s="188">
        <f>P21-X21-AA21-AB21-AC21</f>
        <v>1075</v>
      </c>
      <c r="R21" s="197">
        <v>49</v>
      </c>
      <c r="S21" s="197">
        <v>198</v>
      </c>
      <c r="T21" s="197">
        <v>23</v>
      </c>
      <c r="U21" s="197">
        <v>0</v>
      </c>
      <c r="V21" s="197">
        <v>11</v>
      </c>
      <c r="W21" s="188" t="s">
        <v>19</v>
      </c>
      <c r="X21" s="197">
        <v>62</v>
      </c>
      <c r="Y21" s="197">
        <v>268</v>
      </c>
      <c r="Z21" s="188">
        <f>S21+T21+U21*2+V21*3</f>
        <v>254</v>
      </c>
      <c r="AA21" s="197">
        <v>7</v>
      </c>
      <c r="AB21" s="197">
        <v>15</v>
      </c>
      <c r="AC21" s="197">
        <v>2</v>
      </c>
      <c r="AD21" s="9"/>
      <c r="AE21" s="6">
        <v>2002</v>
      </c>
      <c r="AF21" s="77">
        <v>4.6620046620046623E-2</v>
      </c>
      <c r="AG21" s="85">
        <v>0.51943315474021379</v>
      </c>
      <c r="AH21" s="86">
        <v>0.48787575031582736</v>
      </c>
      <c r="AI21" s="76">
        <v>4.9352945904670041E-3</v>
      </c>
      <c r="AJ21" s="41">
        <v>9.3600000000000003E-3</v>
      </c>
      <c r="AK21" s="42">
        <v>8.750636336843233E-3</v>
      </c>
      <c r="AL21" s="78">
        <v>7.4999999999999997E-3</v>
      </c>
      <c r="AM21" s="9"/>
    </row>
    <row r="22" spans="1:39" x14ac:dyDescent="0.2">
      <c r="A22" s="9"/>
      <c r="B22" s="196">
        <v>1926</v>
      </c>
      <c r="C22" s="207" t="s">
        <v>408</v>
      </c>
      <c r="D22" s="180">
        <f>(S22-V22)/(Q22-V22-Y22+AC22)</f>
        <v>0.31065759637188206</v>
      </c>
      <c r="E22" s="180">
        <f>Z22/P22</f>
        <v>0.37566137566137564</v>
      </c>
      <c r="F22" s="180">
        <f>(T22+U22+V22)/S22</f>
        <v>0.31944444444444442</v>
      </c>
      <c r="G22" s="180">
        <f>(Z22+W22)/P22</f>
        <v>0.49559082892416223</v>
      </c>
      <c r="H22" s="180">
        <f>(Z22/Q22)+((S22+X22+AA22)/(Q22+X22+AA22+AC22))</f>
        <v>0.80718065395903116</v>
      </c>
      <c r="I22" s="180">
        <f>V22/Z22</f>
        <v>3.2863849765258218E-2</v>
      </c>
      <c r="J22" s="180">
        <f>(AB22+AC22)/Z22</f>
        <v>8.4507042253521125E-2</v>
      </c>
      <c r="K22" s="180">
        <f>Y22/P22</f>
        <v>7.7601410934744264E-2</v>
      </c>
      <c r="L22" s="180">
        <f>(X22+AA22)/P22</f>
        <v>0.10758377425044091</v>
      </c>
      <c r="M22" s="186">
        <f>(D22*0.7635+E22*0.7562+F22*0.75+G22*0.7248+H22*0.7021+I22*0.6285+1-J22*0.5884+1-K22*0.5276+L22*0.3663)/6.931</f>
        <v>0.52750941110972793</v>
      </c>
      <c r="N22" s="187">
        <f>M22/0.5012*100</f>
        <v>105.24928394048843</v>
      </c>
      <c r="O22" s="283">
        <f>(N22-100)/100*P22*0.3389</f>
        <v>10.086829796536758</v>
      </c>
      <c r="P22" s="197">
        <v>567</v>
      </c>
      <c r="Q22" s="189">
        <f>P22-X22-AA22-AB22-AC22</f>
        <v>488</v>
      </c>
      <c r="R22" s="188" t="s">
        <v>19</v>
      </c>
      <c r="S22" s="197">
        <v>144</v>
      </c>
      <c r="T22" s="197">
        <v>30</v>
      </c>
      <c r="U22" s="197">
        <v>9</v>
      </c>
      <c r="V22" s="197">
        <v>7</v>
      </c>
      <c r="W22" s="197">
        <v>68</v>
      </c>
      <c r="X22" s="197">
        <v>61</v>
      </c>
      <c r="Y22" s="197">
        <v>44</v>
      </c>
      <c r="Z22" s="188">
        <f>S22+T22+U22*2+V22*3</f>
        <v>213</v>
      </c>
      <c r="AA22" s="197">
        <v>0</v>
      </c>
      <c r="AB22" s="197">
        <v>14</v>
      </c>
      <c r="AC22" s="199">
        <v>4</v>
      </c>
      <c r="AD22" s="9"/>
      <c r="AE22" s="6">
        <v>2001</v>
      </c>
      <c r="AF22" s="77">
        <v>4.7134391579667978E-2</v>
      </c>
      <c r="AG22" s="85">
        <v>0.52408169181542585</v>
      </c>
      <c r="AH22" s="86">
        <v>0.48496474467178197</v>
      </c>
      <c r="AI22" s="76">
        <v>4.9632038336470995E-3</v>
      </c>
      <c r="AJ22" s="41">
        <v>1.0109999999999999E-2</v>
      </c>
      <c r="AK22" s="42">
        <v>8.5946859489988026E-3</v>
      </c>
      <c r="AL22" s="78">
        <v>7.62E-3</v>
      </c>
      <c r="AM22" s="9"/>
    </row>
    <row r="23" spans="1:39" x14ac:dyDescent="0.2">
      <c r="A23" s="9"/>
      <c r="B23" s="210">
        <v>1952</v>
      </c>
      <c r="C23" s="211" t="s">
        <v>396</v>
      </c>
      <c r="D23" s="181">
        <f>(S23-V23)/(Q23-V23-Y23+AC23)</f>
        <v>0.24588235294117647</v>
      </c>
      <c r="E23" s="181">
        <f>Z23/P23</f>
        <v>0.31912964641885766</v>
      </c>
      <c r="F23" s="181">
        <f>(T23+U23+V23)/S23</f>
        <v>0.32173913043478258</v>
      </c>
      <c r="G23" s="181">
        <f>(Z23+R23)/P23</f>
        <v>0.39800543970988211</v>
      </c>
      <c r="H23" s="181">
        <f>(Z23/Q23)+((S23+X23+AA23)/(Q23+X23+AA23+AC23))</f>
        <v>0.61961710366791523</v>
      </c>
      <c r="I23" s="181">
        <f>V23/Z23</f>
        <v>5.9659090909090912E-2</v>
      </c>
      <c r="J23" s="181">
        <f>(AB23+AC23)/Z23</f>
        <v>6.25E-2</v>
      </c>
      <c r="K23" s="181">
        <f>Y23/P23</f>
        <v>0.13780598368087035</v>
      </c>
      <c r="L23" s="181">
        <f>(X23+AA23)/P23</f>
        <v>6.0743427017225751E-2</v>
      </c>
      <c r="M23" s="190">
        <f>(1-D23*0.7635+1-E23*0.7562+1-F23*0.75+1-G23*0.7248+1-H23*0.7021+1-I23*0.6285+J23*0.5884+K23*0.5276+1-L23*0.3663)/11.068</f>
        <v>0.51101070716766117</v>
      </c>
      <c r="N23" s="191">
        <f>M23/0.4944*100</f>
        <v>103.35977086724537</v>
      </c>
      <c r="O23" s="192">
        <f>(N23-100)/100*P23*0.6611</f>
        <v>24.49922405930516</v>
      </c>
      <c r="P23" s="197">
        <v>1103</v>
      </c>
      <c r="Q23" s="189">
        <f>P23-X23-AA23-AB23-AC23</f>
        <v>1014</v>
      </c>
      <c r="R23" s="197">
        <v>87</v>
      </c>
      <c r="S23" s="197">
        <v>230</v>
      </c>
      <c r="T23" s="197">
        <v>47</v>
      </c>
      <c r="U23" s="197">
        <v>6</v>
      </c>
      <c r="V23" s="197">
        <v>21</v>
      </c>
      <c r="W23" s="188" t="s">
        <v>19</v>
      </c>
      <c r="X23" s="197">
        <v>63</v>
      </c>
      <c r="Y23" s="197">
        <v>152</v>
      </c>
      <c r="Z23" s="188">
        <f>S23+T23+U23*2+V23*3</f>
        <v>352</v>
      </c>
      <c r="AA23" s="197">
        <v>4</v>
      </c>
      <c r="AB23" s="197">
        <v>13</v>
      </c>
      <c r="AC23" s="199">
        <v>9</v>
      </c>
      <c r="AD23" s="9"/>
      <c r="AE23" s="6">
        <v>2000</v>
      </c>
      <c r="AF23" s="77">
        <v>4.678310321085246E-2</v>
      </c>
      <c r="AG23" s="85">
        <v>0.52957445975095985</v>
      </c>
      <c r="AH23" s="86">
        <v>0.48152506500416498</v>
      </c>
      <c r="AI23" s="76">
        <v>5.0036528768376077E-3</v>
      </c>
      <c r="AJ23" s="41">
        <v>8.2699999999999996E-3</v>
      </c>
      <c r="AK23" s="42">
        <v>8.5566668944239751E-3</v>
      </c>
      <c r="AL23" s="78">
        <v>7.9600000000000001E-3</v>
      </c>
      <c r="AM23" s="9"/>
    </row>
    <row r="24" spans="1:39" x14ac:dyDescent="0.2">
      <c r="A24" s="9"/>
      <c r="B24" s="196">
        <v>1970</v>
      </c>
      <c r="C24" s="207" t="s">
        <v>385</v>
      </c>
      <c r="D24" s="180">
        <f>(S24-V24)/(Q24-V24-Y24+AC24)</f>
        <v>0.28878281622911695</v>
      </c>
      <c r="E24" s="180">
        <f>Z24/P24</f>
        <v>0.44945567651632973</v>
      </c>
      <c r="F24" s="180">
        <f>(T24+U24+V24)/S24</f>
        <v>0.40384615384615385</v>
      </c>
      <c r="G24" s="180">
        <f>(Z24+W24)/P24</f>
        <v>0.62674961119751171</v>
      </c>
      <c r="H24" s="180">
        <f>(Z24/Q24)+((S24+X24+AA24)/(Q24+X24+AA24+AC24))</f>
        <v>0.96156029543075761</v>
      </c>
      <c r="I24" s="180">
        <f>V24/Z24</f>
        <v>0.12110726643598616</v>
      </c>
      <c r="J24" s="180">
        <f>(AB24+AC24)/Z24</f>
        <v>2.768166089965398E-2</v>
      </c>
      <c r="K24" s="180">
        <f>Y24/P24</f>
        <v>0.12441679626749612</v>
      </c>
      <c r="L24" s="180">
        <f>(X24+AA24)/P24</f>
        <v>0.16951788491446346</v>
      </c>
      <c r="M24" s="186">
        <f>(D24*0.7635+E24*0.7562+F24*0.75+G24*0.7248+H24*0.7021+I24*0.6285+1-J24*0.5884+1-K24*0.5276+L24*0.3663)/6.931</f>
        <v>0.5841737710272954</v>
      </c>
      <c r="N24" s="187">
        <f>M24/0.5018*100</f>
        <v>116.41565783724499</v>
      </c>
      <c r="O24" s="283">
        <f>(N24-100)/100*P24*0.3389</f>
        <v>35.771803215902167</v>
      </c>
      <c r="P24" s="197">
        <v>643</v>
      </c>
      <c r="Q24" s="188">
        <f>P24-X24-AA24-AB24-AC24</f>
        <v>526</v>
      </c>
      <c r="R24" s="188" t="s">
        <v>19</v>
      </c>
      <c r="S24" s="197">
        <v>156</v>
      </c>
      <c r="T24" s="197">
        <v>28</v>
      </c>
      <c r="U24" s="197">
        <v>0</v>
      </c>
      <c r="V24" s="197">
        <v>35</v>
      </c>
      <c r="W24" s="197">
        <v>114</v>
      </c>
      <c r="X24" s="197">
        <v>104</v>
      </c>
      <c r="Y24" s="197">
        <v>80</v>
      </c>
      <c r="Z24" s="188">
        <f>S24+T24+U24*2+V24*3</f>
        <v>289</v>
      </c>
      <c r="AA24" s="197">
        <v>5</v>
      </c>
      <c r="AB24" s="197">
        <v>0</v>
      </c>
      <c r="AC24" s="197">
        <v>8</v>
      </c>
      <c r="AD24" s="9"/>
      <c r="AE24" s="6">
        <v>1999</v>
      </c>
      <c r="AF24" s="77">
        <v>4.6074689496657738E-2</v>
      </c>
      <c r="AG24" s="85">
        <v>0.5277910814556559</v>
      </c>
      <c r="AH24" s="86">
        <v>0.48264185168330759</v>
      </c>
      <c r="AI24" s="76">
        <v>4.907956055078759E-3</v>
      </c>
      <c r="AJ24" s="41">
        <v>8.3199999999999993E-3</v>
      </c>
      <c r="AK24" s="42">
        <v>8.4558125803934799E-3</v>
      </c>
      <c r="AL24" s="78">
        <v>7.7200000000000003E-3</v>
      </c>
      <c r="AM24" s="9"/>
    </row>
    <row r="25" spans="1:39" x14ac:dyDescent="0.2">
      <c r="A25" s="9"/>
      <c r="B25" s="196">
        <v>1964</v>
      </c>
      <c r="C25" s="207" t="s">
        <v>133</v>
      </c>
      <c r="D25" s="180">
        <f>(S25-V25)/(Q25-V25-Y25+AC25)</f>
        <v>0.31320754716981131</v>
      </c>
      <c r="E25" s="180">
        <f>Z25/P25</f>
        <v>0.4656934306569343</v>
      </c>
      <c r="F25" s="180">
        <f>(T25+U25+V25)/S25</f>
        <v>0.34020618556701032</v>
      </c>
      <c r="G25" s="180">
        <f>(Z25+W25)/P25</f>
        <v>0.63795620437956202</v>
      </c>
      <c r="H25" s="180">
        <f>(Z25/Q25)+((S25+X25+AA25)/(Q25+X25+AA25+AC25))</f>
        <v>0.88904094380243492</v>
      </c>
      <c r="I25" s="180">
        <f>V25/Z25</f>
        <v>8.7774294670846395E-2</v>
      </c>
      <c r="J25" s="180">
        <f>(AB25+AC25)/Z25</f>
        <v>5.6426332288401257E-2</v>
      </c>
      <c r="K25" s="180">
        <f>Y25/P25</f>
        <v>9.3430656934306563E-2</v>
      </c>
      <c r="L25" s="180">
        <f>(X25+AA25)/P25</f>
        <v>8.0291970802919707E-2</v>
      </c>
      <c r="M25" s="186">
        <f>(D25*0.7635+E25*0.7562+F25*0.75+G25*0.7248+H25*0.7021+I25*0.6285+1-J25*0.5884+1-K25*0.5276+L25*0.3663)/6.931</f>
        <v>0.56775560552140814</v>
      </c>
      <c r="N25" s="187">
        <f>M25/0.4967*100</f>
        <v>114.30553765279005</v>
      </c>
      <c r="O25" s="283">
        <f>(N25-100)/100*P25*0.3389</f>
        <v>33.209804967134254</v>
      </c>
      <c r="P25" s="197">
        <v>685</v>
      </c>
      <c r="Q25" s="188">
        <f>P25-X25-AA25-AB25-AC25</f>
        <v>612</v>
      </c>
      <c r="R25" s="188" t="s">
        <v>19</v>
      </c>
      <c r="S25" s="197">
        <v>194</v>
      </c>
      <c r="T25" s="197">
        <v>35</v>
      </c>
      <c r="U25" s="197">
        <v>3</v>
      </c>
      <c r="V25" s="197">
        <v>28</v>
      </c>
      <c r="W25" s="197">
        <v>118</v>
      </c>
      <c r="X25" s="197">
        <v>51</v>
      </c>
      <c r="Y25" s="197">
        <v>64</v>
      </c>
      <c r="Z25" s="188">
        <f>S25+T25+U25*2+V25*3</f>
        <v>319</v>
      </c>
      <c r="AA25" s="197">
        <v>4</v>
      </c>
      <c r="AB25" s="197">
        <v>8</v>
      </c>
      <c r="AC25" s="197">
        <v>10</v>
      </c>
      <c r="AD25" s="9"/>
      <c r="AE25" s="6">
        <v>1998</v>
      </c>
      <c r="AF25" s="77">
        <v>4.6425536435096663E-2</v>
      </c>
      <c r="AG25" s="85">
        <v>0.52075501059617446</v>
      </c>
      <c r="AH25" s="86">
        <v>0.48704797809522182</v>
      </c>
      <c r="AI25" s="76">
        <v>4.7748034841725087E-3</v>
      </c>
      <c r="AJ25" s="41">
        <v>8.43E-3</v>
      </c>
      <c r="AK25" s="42">
        <v>9.0556617803271722E-3</v>
      </c>
      <c r="AL25" s="78">
        <v>7.45E-3</v>
      </c>
      <c r="AM25" s="9"/>
    </row>
    <row r="26" spans="1:39" x14ac:dyDescent="0.2">
      <c r="A26" s="9"/>
      <c r="B26" s="196">
        <v>2015</v>
      </c>
      <c r="C26" s="207" t="s">
        <v>340</v>
      </c>
      <c r="D26" s="180">
        <f>(S26-V26)/(Q26-V26-Y26+AC26)</f>
        <v>0.36931818181818182</v>
      </c>
      <c r="E26" s="180">
        <f>Z26/P26</f>
        <v>0.51681957186544347</v>
      </c>
      <c r="F26" s="180">
        <f>(T26+U26+V26)/S26</f>
        <v>0.47093023255813954</v>
      </c>
      <c r="G26" s="180">
        <f>(Z26+W26)/P26</f>
        <v>0.66819571865443428</v>
      </c>
      <c r="H26" s="180">
        <f>(Z26/Q26)+((S26+X26+AA26)/(Q26+X26+AA26+AC26))</f>
        <v>1.1089970475502886</v>
      </c>
      <c r="I26" s="180">
        <f>V26/Z26</f>
        <v>0.1242603550295858</v>
      </c>
      <c r="J26" s="180">
        <f>(AB26+AC26)/Z26</f>
        <v>1.1834319526627219E-2</v>
      </c>
      <c r="K26" s="180">
        <f>Y26/P26</f>
        <v>0.20030581039755352</v>
      </c>
      <c r="L26" s="180">
        <f>(X26+AA26)/P26</f>
        <v>0.19724770642201836</v>
      </c>
      <c r="M26" s="186">
        <f>(D26*0.7635+E26*0.7562+F26*0.75+G26*0.7248+H26*0.7021+I26*0.6285+1-J26*0.5884+1-K26*0.5276+L26*0.3663)/6.931</f>
        <v>0.62424339334446532</v>
      </c>
      <c r="N26" s="187">
        <f>M26/0.5124*100</f>
        <v>121.82736013748348</v>
      </c>
      <c r="O26" s="283">
        <f>(N26-100)/100*P26*0.3389</f>
        <v>48.378291972879204</v>
      </c>
      <c r="P26" s="197">
        <v>654</v>
      </c>
      <c r="Q26" s="188">
        <f>P26-X26-AA26-AB26-AC26</f>
        <v>521</v>
      </c>
      <c r="R26" s="188" t="s">
        <v>19</v>
      </c>
      <c r="S26" s="197">
        <v>172</v>
      </c>
      <c r="T26" s="197">
        <v>38</v>
      </c>
      <c r="U26" s="197">
        <v>1</v>
      </c>
      <c r="V26" s="197">
        <v>42</v>
      </c>
      <c r="W26" s="197">
        <v>99</v>
      </c>
      <c r="X26" s="197">
        <v>124</v>
      </c>
      <c r="Y26" s="197">
        <v>131</v>
      </c>
      <c r="Z26" s="188">
        <f>S26+T26+U26*2+V26*3</f>
        <v>338</v>
      </c>
      <c r="AA26" s="197">
        <v>5</v>
      </c>
      <c r="AB26" s="197">
        <v>0</v>
      </c>
      <c r="AC26" s="197">
        <v>4</v>
      </c>
      <c r="AD26" s="9"/>
      <c r="AE26" s="6">
        <v>1997</v>
      </c>
      <c r="AF26" s="77">
        <v>4.5595666019151999E-2</v>
      </c>
      <c r="AG26" s="85">
        <v>0.51991013827713672</v>
      </c>
      <c r="AH26" s="86">
        <v>0.48757705381289906</v>
      </c>
      <c r="AI26" s="76">
        <v>5.0301065835721163E-3</v>
      </c>
      <c r="AJ26" s="41">
        <v>8.2500000000000004E-3</v>
      </c>
      <c r="AK26" s="42">
        <v>8.9835538870817969E-3</v>
      </c>
      <c r="AL26" s="78">
        <v>7.8799999999999999E-3</v>
      </c>
      <c r="AM26" s="9"/>
    </row>
    <row r="27" spans="1:39" x14ac:dyDescent="0.2">
      <c r="A27" s="9"/>
      <c r="B27" s="210">
        <v>1939</v>
      </c>
      <c r="C27" s="211" t="s">
        <v>406</v>
      </c>
      <c r="D27" s="181">
        <f>(S27-V27)/(Q27-V27-Y27+AC27)</f>
        <v>0.2366565961732125</v>
      </c>
      <c r="E27" s="181">
        <f>Z27/P27</f>
        <v>0.28448947778643802</v>
      </c>
      <c r="F27" s="181">
        <f>(T27+U27+V27)/S27</f>
        <v>0.312</v>
      </c>
      <c r="G27" s="181">
        <f>(Z27+R27)/P27</f>
        <v>0.36087295401402963</v>
      </c>
      <c r="H27" s="181">
        <f>(Z27/Q27)+((S27+X27+AA27)/(Q27+X27+AA27+AC27))</f>
        <v>0.61042067676514078</v>
      </c>
      <c r="I27" s="181">
        <f>V27/Z27</f>
        <v>4.1095890410958902E-2</v>
      </c>
      <c r="J27" s="181">
        <f>(AB27+AC27)/Z27</f>
        <v>8.2191780821917804E-2</v>
      </c>
      <c r="K27" s="181">
        <f>Y27/P27</f>
        <v>0.10678098207326578</v>
      </c>
      <c r="L27" s="181">
        <f>(X27+AA27)/P27</f>
        <v>8.9633671083398286E-2</v>
      </c>
      <c r="M27" s="190">
        <f>(1-D27*0.7635+1-E27*0.7562+1-F27*0.75+1-G27*0.7248+1-H27*0.7021+1-I27*0.6285+J27*0.5884+K27*0.5276+1-L27*0.3663)/11.068</f>
        <v>0.51735475068935755</v>
      </c>
      <c r="N27" s="191">
        <f>M27/0.4944*100</f>
        <v>104.6429511912131</v>
      </c>
      <c r="O27" s="192">
        <f>(N27-100)/100*P27*0.6611</f>
        <v>39.381108067115882</v>
      </c>
      <c r="P27" s="197">
        <v>1283</v>
      </c>
      <c r="Q27" s="188">
        <f>P27-X27-AA27-AB27-AC27</f>
        <v>1138</v>
      </c>
      <c r="R27" s="197">
        <v>98</v>
      </c>
      <c r="S27" s="197">
        <v>250</v>
      </c>
      <c r="T27" s="197">
        <v>56</v>
      </c>
      <c r="U27" s="197">
        <v>7</v>
      </c>
      <c r="V27" s="197">
        <v>15</v>
      </c>
      <c r="W27" s="188" t="s">
        <v>19</v>
      </c>
      <c r="X27" s="197">
        <v>109</v>
      </c>
      <c r="Y27" s="197">
        <v>137</v>
      </c>
      <c r="Z27" s="188">
        <f>S27+T27+U27*2+V27*3</f>
        <v>365</v>
      </c>
      <c r="AA27" s="197">
        <v>6</v>
      </c>
      <c r="AB27" s="197">
        <v>23</v>
      </c>
      <c r="AC27" s="197">
        <v>7</v>
      </c>
      <c r="AD27" s="9"/>
      <c r="AE27" s="6">
        <v>1996</v>
      </c>
      <c r="AF27" s="77">
        <v>4.5057344172218683E-2</v>
      </c>
      <c r="AG27" s="85">
        <v>0.52376180683952944</v>
      </c>
      <c r="AH27" s="86">
        <v>0.48516506295583844</v>
      </c>
      <c r="AI27" s="76">
        <v>4.8233415884871627E-3</v>
      </c>
      <c r="AJ27" s="41">
        <v>7.92E-3</v>
      </c>
      <c r="AK27" s="42">
        <v>8.7102215352329593E-3</v>
      </c>
      <c r="AL27" s="78">
        <v>7.9000000000000008E-3</v>
      </c>
      <c r="AM27" s="9"/>
    </row>
    <row r="28" spans="1:39" x14ac:dyDescent="0.2">
      <c r="A28" s="9"/>
      <c r="B28" s="196">
        <v>2012</v>
      </c>
      <c r="C28" s="207" t="s">
        <v>343</v>
      </c>
      <c r="D28" s="180">
        <f>(S28-V28)/(Q28-V28-Y28+AC28)</f>
        <v>0.36754176610978523</v>
      </c>
      <c r="E28" s="180">
        <f>Z28/P28</f>
        <v>0.47704918032786886</v>
      </c>
      <c r="F28" s="180">
        <f>(T28+U28+V28)/S28</f>
        <v>0.3595505617977528</v>
      </c>
      <c r="G28" s="180">
        <f>(Z28+W28)/P28</f>
        <v>0.64590163934426226</v>
      </c>
      <c r="H28" s="180">
        <f>(Z28/Q28)+((S28+X28+AA28)/(Q28+X28+AA28+AC28))</f>
        <v>0.95725332508506034</v>
      </c>
      <c r="I28" s="180">
        <f>V28/Z28</f>
        <v>8.247422680412371E-2</v>
      </c>
      <c r="J28" s="180">
        <f>(AB28+AC28)/Z28</f>
        <v>3.0927835051546393E-2</v>
      </c>
      <c r="K28" s="180">
        <f>Y28/P28</f>
        <v>0.15737704918032788</v>
      </c>
      <c r="L28" s="180">
        <f>(X28+AA28)/P28</f>
        <v>0.11639344262295082</v>
      </c>
      <c r="M28" s="186">
        <f>(D28*0.7635+E28*0.7562+F28*0.75+G28*0.7248+H28*0.7021+I28*0.6285+1-J28*0.5884+1-K28*0.5276+L28*0.3663)/6.931</f>
        <v>0.58353810676140816</v>
      </c>
      <c r="N28" s="187">
        <f>M28/0.5129*100</f>
        <v>113.77229611257714</v>
      </c>
      <c r="O28" s="283">
        <f>(N28-100)/100*P28*0.3389</f>
        <v>28.471330030569586</v>
      </c>
      <c r="P28" s="197">
        <v>610</v>
      </c>
      <c r="Q28" s="188">
        <f>P28-X28-AA28-AB28-AC28</f>
        <v>530</v>
      </c>
      <c r="R28" s="188" t="s">
        <v>19</v>
      </c>
      <c r="S28" s="197">
        <v>178</v>
      </c>
      <c r="T28" s="197">
        <v>39</v>
      </c>
      <c r="U28" s="197">
        <v>1</v>
      </c>
      <c r="V28" s="197">
        <v>24</v>
      </c>
      <c r="W28" s="197">
        <v>103</v>
      </c>
      <c r="X28" s="197">
        <v>69</v>
      </c>
      <c r="Y28" s="197">
        <v>96</v>
      </c>
      <c r="Z28" s="188">
        <f>S28+T28+U28*2+V28*3</f>
        <v>291</v>
      </c>
      <c r="AA28" s="197">
        <v>2</v>
      </c>
      <c r="AB28" s="197">
        <v>0</v>
      </c>
      <c r="AC28" s="197">
        <v>9</v>
      </c>
      <c r="AD28" s="9"/>
      <c r="AE28" s="6">
        <v>1995</v>
      </c>
      <c r="AF28" s="77">
        <v>4.4402185011231367E-2</v>
      </c>
      <c r="AG28" s="85">
        <v>0.51914620203764528</v>
      </c>
      <c r="AH28" s="86">
        <v>0.48805544576048798</v>
      </c>
      <c r="AI28" s="76">
        <v>5.2583214212783341E-3</v>
      </c>
      <c r="AJ28" s="41">
        <v>7.7799999999999996E-3</v>
      </c>
      <c r="AK28" s="42">
        <v>9.4956095568715544E-3</v>
      </c>
      <c r="AL28" s="78">
        <v>7.4900000000000001E-3</v>
      </c>
      <c r="AM28" s="9"/>
    </row>
    <row r="29" spans="1:39" x14ac:dyDescent="0.2">
      <c r="A29" s="9"/>
      <c r="B29" s="196">
        <v>1991</v>
      </c>
      <c r="C29" s="207" t="s">
        <v>57</v>
      </c>
      <c r="D29" s="180">
        <f>(S29-V29)/(Q29-V29-Y29+AC29)</f>
        <v>0.30397236614853196</v>
      </c>
      <c r="E29" s="180">
        <f>Z29/P29</f>
        <v>0.51324965132496514</v>
      </c>
      <c r="F29" s="180">
        <f>(T29+U29+V29)/S29</f>
        <v>0.40476190476190477</v>
      </c>
      <c r="G29" s="180">
        <f>(Z29+W29)/P29</f>
        <v>0.6722454672245467</v>
      </c>
      <c r="H29" s="180">
        <f>(Z29/Q29)+((S29+X29+AA29)/(Q29+X29+AA29+AC29))</f>
        <v>0.93993348353180983</v>
      </c>
      <c r="I29" s="180">
        <f>V29/Z29</f>
        <v>9.2391304347826081E-2</v>
      </c>
      <c r="J29" s="180">
        <f>(AB29+AC29)/Z29</f>
        <v>2.4456521739130436E-2</v>
      </c>
      <c r="K29" s="180">
        <f>Y29/P29</f>
        <v>6.4156206415620642E-2</v>
      </c>
      <c r="L29" s="180">
        <f>(X29+AA29)/P29</f>
        <v>8.0892608089260812E-2</v>
      </c>
      <c r="M29" s="186">
        <f>(D29*0.7635+E29*0.7562+F29*0.75+G29*0.7248+H29*0.7021+I29*0.6285+1-J29*0.5884+1-K29*0.5276+L29*0.3663)/6.931</f>
        <v>0.59304637067080157</v>
      </c>
      <c r="N29" s="187">
        <f>M29/0.5022*100</f>
        <v>118.08967954416599</v>
      </c>
      <c r="O29" s="283">
        <f>(N29-100)/100*P29*0.3389</f>
        <v>43.956347490203008</v>
      </c>
      <c r="P29" s="197">
        <v>717</v>
      </c>
      <c r="Q29" s="188">
        <f>P29-X29-AA29-AB29-AC29</f>
        <v>650</v>
      </c>
      <c r="R29" s="188" t="s">
        <v>19</v>
      </c>
      <c r="S29" s="197">
        <v>210</v>
      </c>
      <c r="T29" s="197">
        <v>46</v>
      </c>
      <c r="U29" s="197">
        <v>5</v>
      </c>
      <c r="V29" s="197">
        <v>34</v>
      </c>
      <c r="W29" s="197">
        <v>114</v>
      </c>
      <c r="X29" s="197">
        <v>53</v>
      </c>
      <c r="Y29" s="197">
        <v>46</v>
      </c>
      <c r="Z29" s="188">
        <f>S29+T29+U29*2+V29*3</f>
        <v>368</v>
      </c>
      <c r="AA29" s="197">
        <v>5</v>
      </c>
      <c r="AB29" s="197">
        <v>0</v>
      </c>
      <c r="AC29" s="197">
        <v>9</v>
      </c>
      <c r="AD29" s="9"/>
      <c r="AE29" s="6">
        <v>1994</v>
      </c>
      <c r="AF29" s="77">
        <v>4.5974149080597354E-2</v>
      </c>
      <c r="AG29" s="85">
        <v>0.52250029028573575</v>
      </c>
      <c r="AH29" s="86">
        <v>0.48595504951477814</v>
      </c>
      <c r="AI29" s="76">
        <v>5.6393242450776407E-3</v>
      </c>
      <c r="AJ29" s="41">
        <v>7.0400000000000003E-3</v>
      </c>
      <c r="AK29" s="42">
        <v>9.6961030823485943E-3</v>
      </c>
      <c r="AL29" s="78">
        <v>7.9699999999999997E-3</v>
      </c>
      <c r="AM29" s="9"/>
    </row>
    <row r="30" spans="1:39" x14ac:dyDescent="0.2">
      <c r="A30" s="9"/>
      <c r="B30" s="196">
        <v>1983</v>
      </c>
      <c r="C30" s="207" t="s">
        <v>57</v>
      </c>
      <c r="D30" s="180">
        <f>(S30-V30)/(Q30-V30-Y30+AC30)</f>
        <v>0.33823529411764708</v>
      </c>
      <c r="E30" s="180">
        <f>Z30/P30</f>
        <v>0.47245179063360881</v>
      </c>
      <c r="F30" s="180">
        <f>(T30+U30+V30)/S30</f>
        <v>0.36018957345971564</v>
      </c>
      <c r="G30" s="180">
        <f>(Z30+W30)/P30</f>
        <v>0.61294765840220389</v>
      </c>
      <c r="H30" s="180">
        <f>(Z30/Q30)+((S30+X30+AA30)/(Q30+X30+AA30+AC30))</f>
        <v>0.88786881567630238</v>
      </c>
      <c r="I30" s="180">
        <f>V30/Z30</f>
        <v>7.8717201166180764E-2</v>
      </c>
      <c r="J30" s="180">
        <f>(AB30+AC30)/Z30</f>
        <v>1.4577259475218658E-2</v>
      </c>
      <c r="K30" s="180">
        <f>Y30/P30</f>
        <v>0.13360881542699724</v>
      </c>
      <c r="L30" s="180">
        <f>(X30+AA30)/P30</f>
        <v>7.9889807162534437E-2</v>
      </c>
      <c r="M30" s="186">
        <f>(D30*0.7635+E30*0.7562+F30*0.75+G30*0.7248+H30*0.7021+I30*0.6285+1-J30*0.5884+1-K30*0.5276+L30*0.3663)/6.931</f>
        <v>0.57033013365013319</v>
      </c>
      <c r="N30" s="187">
        <f>M30/0.5044*100</f>
        <v>113.07100191319057</v>
      </c>
      <c r="O30" s="283">
        <f>(N30-100)/100*P30*0.3389</f>
        <v>32.160076101240868</v>
      </c>
      <c r="P30" s="197">
        <v>726</v>
      </c>
      <c r="Q30" s="188">
        <f>P30-X30-AA30-AB30-AC30</f>
        <v>663</v>
      </c>
      <c r="R30" s="188" t="s">
        <v>19</v>
      </c>
      <c r="S30" s="197">
        <v>211</v>
      </c>
      <c r="T30" s="197">
        <v>47</v>
      </c>
      <c r="U30" s="197">
        <v>2</v>
      </c>
      <c r="V30" s="197">
        <v>27</v>
      </c>
      <c r="W30" s="197">
        <v>102</v>
      </c>
      <c r="X30" s="197">
        <v>58</v>
      </c>
      <c r="Y30" s="197">
        <v>97</v>
      </c>
      <c r="Z30" s="188">
        <f>S30+T30+U30*2+V30*3</f>
        <v>343</v>
      </c>
      <c r="AA30" s="197">
        <v>0</v>
      </c>
      <c r="AB30" s="197">
        <v>0</v>
      </c>
      <c r="AC30" s="197">
        <v>5</v>
      </c>
      <c r="AD30" s="9"/>
      <c r="AE30" s="6">
        <v>1993</v>
      </c>
      <c r="AF30" s="77">
        <v>4.2672028596961571E-2</v>
      </c>
      <c r="AG30" s="85">
        <v>0.51131574761464249</v>
      </c>
      <c r="AH30" s="86">
        <v>0.4929590308351024</v>
      </c>
      <c r="AI30" s="76">
        <v>5.3848445269356797E-3</v>
      </c>
      <c r="AJ30" s="41">
        <v>6.8700000000000002E-3</v>
      </c>
      <c r="AK30" s="42">
        <v>1.0374418551362251E-2</v>
      </c>
      <c r="AL30" s="78">
        <v>8.1899999999999994E-3</v>
      </c>
      <c r="AM30" s="9"/>
    </row>
    <row r="31" spans="1:39" x14ac:dyDescent="0.2">
      <c r="A31" s="9"/>
      <c r="B31" s="210">
        <v>1933</v>
      </c>
      <c r="C31" s="211" t="s">
        <v>237</v>
      </c>
      <c r="D31" s="181">
        <f>(S31-V31)/(Q31-V31-Y31+AC31)</f>
        <v>0.25853154084798347</v>
      </c>
      <c r="E31" s="181">
        <f>Z31/P31</f>
        <v>0.26263463131731568</v>
      </c>
      <c r="F31" s="181">
        <f>(T31+U31+V31)/S31</f>
        <v>0.171875</v>
      </c>
      <c r="G31" s="181">
        <f>(Z31+R31)/P31</f>
        <v>0.31980115990057995</v>
      </c>
      <c r="H31" s="181">
        <f>(Z31/Q31)+((S31+X31+AA31)/(Q31+X31+AA31+AC31))</f>
        <v>0.54283063531370024</v>
      </c>
      <c r="I31" s="181">
        <f>V31/Z31</f>
        <v>1.8927444794952682E-2</v>
      </c>
      <c r="J31" s="181">
        <f>(AB31+AC31)/Z31</f>
        <v>0.11987381703470032</v>
      </c>
      <c r="K31" s="181">
        <f>Y31/P31</f>
        <v>0.12924606462303231</v>
      </c>
      <c r="L31" s="181">
        <f>(X31+AA31)/P31</f>
        <v>4.1425020712510356E-2</v>
      </c>
      <c r="M31" s="190">
        <f>(1-D31*0.7635+1-E31*0.7562+1-F31*0.75+1-G31*0.7248+1-H31*0.7021+1-I31*0.6285+J31*0.5884+K31*0.5276+1-L31*0.3663)/11.068</f>
        <v>0.53973991995920034</v>
      </c>
      <c r="N31" s="191">
        <f>M31/0.5013*100</f>
        <v>107.66804706945948</v>
      </c>
      <c r="O31" s="192">
        <f>(N31-100)/100*P31*0.6611</f>
        <v>61.187005225669289</v>
      </c>
      <c r="P31" s="197">
        <v>1207</v>
      </c>
      <c r="Q31" s="189">
        <f>P31-X31-AA31-AB31-AC31</f>
        <v>1119</v>
      </c>
      <c r="R31" s="197">
        <v>69</v>
      </c>
      <c r="S31" s="197">
        <v>256</v>
      </c>
      <c r="T31" s="197">
        <v>33</v>
      </c>
      <c r="U31" s="197">
        <v>5</v>
      </c>
      <c r="V31" s="197">
        <v>6</v>
      </c>
      <c r="W31" s="188" t="s">
        <v>19</v>
      </c>
      <c r="X31" s="197">
        <v>47</v>
      </c>
      <c r="Y31" s="197">
        <v>156</v>
      </c>
      <c r="Z31" s="188">
        <f>S31+T31+U31*2+V31*3</f>
        <v>317</v>
      </c>
      <c r="AA31" s="197">
        <v>3</v>
      </c>
      <c r="AB31" s="197">
        <v>28</v>
      </c>
      <c r="AC31" s="199">
        <v>10</v>
      </c>
      <c r="AD31" s="9"/>
      <c r="AE31" s="6">
        <v>1992</v>
      </c>
      <c r="AF31" s="77">
        <v>4.0879504188856705E-2</v>
      </c>
      <c r="AG31" s="85">
        <v>0.49821847687464238</v>
      </c>
      <c r="AH31" s="86">
        <v>0.50116080021520182</v>
      </c>
      <c r="AI31" s="76">
        <v>5.2633218100844002E-3</v>
      </c>
      <c r="AJ31" s="41">
        <v>6.1000000000000004E-3</v>
      </c>
      <c r="AK31" s="42">
        <v>1.0370924039988788E-2</v>
      </c>
      <c r="AL31" s="78">
        <v>8.0599999999999995E-3</v>
      </c>
      <c r="AM31" s="9"/>
    </row>
    <row r="32" spans="1:39" x14ac:dyDescent="0.2">
      <c r="A32" s="9"/>
      <c r="B32" s="210">
        <v>1936</v>
      </c>
      <c r="C32" s="211" t="s">
        <v>237</v>
      </c>
      <c r="D32" s="181">
        <f>(S32-V32)/(Q32-V32-Y32+AC32)</f>
        <v>0.2595573440643863</v>
      </c>
      <c r="E32" s="181">
        <f>Z32/P32</f>
        <v>0.28868552412645593</v>
      </c>
      <c r="F32" s="181">
        <f>(T32+U32+V32)/S32</f>
        <v>0.21132075471698114</v>
      </c>
      <c r="G32" s="181">
        <f>(Z32+R32)/P32</f>
        <v>0.35607321131447589</v>
      </c>
      <c r="H32" s="181">
        <f>(Z32/Q32)+((S32+X32+AA32)/(Q32+X32+AA32+AC32))</f>
        <v>0.58692745710418259</v>
      </c>
      <c r="I32" s="181">
        <f>V32/Z32</f>
        <v>2.0172910662824207E-2</v>
      </c>
      <c r="J32" s="181">
        <f>(AB32+AC32)/Z32</f>
        <v>7.2046109510086456E-2</v>
      </c>
      <c r="K32" s="181">
        <f>Y32/P32</f>
        <v>0.10232945091514144</v>
      </c>
      <c r="L32" s="181">
        <f>(X32+AA32)/P32</f>
        <v>5.1580698835274545E-2</v>
      </c>
      <c r="M32" s="190">
        <f>(1-D32*0.7635+1-E32*0.7562+1-F32*0.75+1-G32*0.7248+1-H32*0.7021+1-I32*0.6285+J32*0.5884+K32*0.5276+1-L32*0.3663)/11.068</f>
        <v>0.52581117112709763</v>
      </c>
      <c r="N32" s="191">
        <f>M32/0.4914*100</f>
        <v>107.0026803270447</v>
      </c>
      <c r="O32" s="192">
        <f>(N32-100)/100*P32*0.6611</f>
        <v>55.64625300979521</v>
      </c>
      <c r="P32" s="197">
        <v>1202</v>
      </c>
      <c r="Q32" s="189">
        <f>P32-X32-AA32-AB32-AC32</f>
        <v>1115</v>
      </c>
      <c r="R32" s="197">
        <v>81</v>
      </c>
      <c r="S32" s="197">
        <v>265</v>
      </c>
      <c r="T32" s="197">
        <v>37</v>
      </c>
      <c r="U32" s="197">
        <v>12</v>
      </c>
      <c r="V32" s="197">
        <v>7</v>
      </c>
      <c r="W32" s="188" t="s">
        <v>19</v>
      </c>
      <c r="X32" s="197">
        <v>57</v>
      </c>
      <c r="Y32" s="197">
        <v>123</v>
      </c>
      <c r="Z32" s="188">
        <f>S32+T32+U32*2+V32*3</f>
        <v>347</v>
      </c>
      <c r="AA32" s="197">
        <v>5</v>
      </c>
      <c r="AB32" s="197">
        <v>16</v>
      </c>
      <c r="AC32" s="199">
        <v>9</v>
      </c>
      <c r="AD32" s="9"/>
      <c r="AE32" s="6">
        <v>1991</v>
      </c>
      <c r="AF32" s="77">
        <v>4.0430243987408708E-2</v>
      </c>
      <c r="AG32" s="85">
        <v>0.50224107079860558</v>
      </c>
      <c r="AH32" s="86">
        <v>0.49864177252393077</v>
      </c>
      <c r="AI32" s="76">
        <v>5.5615691836810865E-3</v>
      </c>
      <c r="AJ32" s="41">
        <v>5.6299999999999996E-3</v>
      </c>
      <c r="AK32" s="42">
        <v>1.0102895250892713E-2</v>
      </c>
      <c r="AL32" s="78">
        <v>7.77E-3</v>
      </c>
      <c r="AM32" s="9"/>
    </row>
    <row r="33" spans="1:39" x14ac:dyDescent="0.2">
      <c r="A33" s="9"/>
      <c r="B33" s="196">
        <v>1967</v>
      </c>
      <c r="C33" s="207" t="s">
        <v>116</v>
      </c>
      <c r="D33" s="180">
        <f>(S33-V33)/(Q33-V33-Y33+AC33)</f>
        <v>0.30785562632696389</v>
      </c>
      <c r="E33" s="180">
        <f>Z33/P33</f>
        <v>0.52941176470588236</v>
      </c>
      <c r="F33" s="180">
        <f>(T33+U33+V33)/S33</f>
        <v>0.41798941798941797</v>
      </c>
      <c r="G33" s="180">
        <f>(Z33+W33)/P33</f>
        <v>0.70735294117647063</v>
      </c>
      <c r="H33" s="180">
        <f>(Z33/Q33)+((S33+X33+AA33)/(Q33+X33+AA33+AC33))</f>
        <v>1.0400238082520012</v>
      </c>
      <c r="I33" s="180">
        <f>V33/Z33</f>
        <v>0.12222222222222222</v>
      </c>
      <c r="J33" s="180">
        <f>(AB33+AC33)/Z33</f>
        <v>1.6666666666666666E-2</v>
      </c>
      <c r="K33" s="180">
        <f>Y33/P33</f>
        <v>0.10147058823529412</v>
      </c>
      <c r="L33" s="180">
        <f>(X33+AA33)/P33</f>
        <v>0.13970588235294118</v>
      </c>
      <c r="M33" s="186">
        <f>(D33*0.7635+E33*0.7562+F33*0.75+G33*0.7248+H33*0.7021+I33*0.6285+1-J33*0.5884+1-K33*0.5276+L33*0.3663)/6.931</f>
        <v>0.61411333437522231</v>
      </c>
      <c r="N33" s="187">
        <f>M33/0.4863*100</f>
        <v>126.28281603438664</v>
      </c>
      <c r="O33" s="283">
        <f>(N33-100)/100*P33*0.3389</f>
        <v>60.569275207564701</v>
      </c>
      <c r="P33" s="197">
        <v>680</v>
      </c>
      <c r="Q33" s="188">
        <f>P33-X33-AA33-AB33-AC33</f>
        <v>579</v>
      </c>
      <c r="R33" s="188" t="s">
        <v>19</v>
      </c>
      <c r="S33" s="197">
        <v>189</v>
      </c>
      <c r="T33" s="197">
        <v>31</v>
      </c>
      <c r="U33" s="197">
        <v>4</v>
      </c>
      <c r="V33" s="197">
        <v>44</v>
      </c>
      <c r="W33" s="197">
        <v>121</v>
      </c>
      <c r="X33" s="197">
        <v>91</v>
      </c>
      <c r="Y33" s="197">
        <v>69</v>
      </c>
      <c r="Z33" s="188">
        <f>S33+T33+U33*2+V33*3</f>
        <v>360</v>
      </c>
      <c r="AA33" s="197">
        <v>4</v>
      </c>
      <c r="AB33" s="197">
        <v>1</v>
      </c>
      <c r="AC33" s="197">
        <v>5</v>
      </c>
      <c r="AD33" s="9"/>
      <c r="AE33" s="6">
        <v>1990</v>
      </c>
      <c r="AF33" s="77">
        <v>4.0707103470645475E-2</v>
      </c>
      <c r="AG33" s="85">
        <v>0.50247381944164704</v>
      </c>
      <c r="AH33" s="86">
        <v>0.49849602073093108</v>
      </c>
      <c r="AI33" s="76">
        <v>5.3955937024376859E-3</v>
      </c>
      <c r="AJ33" s="41">
        <v>5.3699999999999998E-3</v>
      </c>
      <c r="AK33" s="42">
        <v>9.7245440255495398E-3</v>
      </c>
      <c r="AL33" s="78">
        <v>7.8700000000000003E-3</v>
      </c>
      <c r="AM33" s="9"/>
    </row>
    <row r="34" spans="1:39" x14ac:dyDescent="0.2">
      <c r="A34" s="9"/>
      <c r="B34" s="196">
        <v>1937</v>
      </c>
      <c r="C34" s="207" t="s">
        <v>233</v>
      </c>
      <c r="D34" s="180">
        <f>(S34-V34)/(Q34-V34-Y34+AC34)</f>
        <v>0.37001897533206829</v>
      </c>
      <c r="E34" s="180">
        <f>Z34/P34</f>
        <v>0.44259818731117823</v>
      </c>
      <c r="F34" s="180">
        <f>(T34+U34+V34)/S34</f>
        <v>0.26315789473684209</v>
      </c>
      <c r="G34" s="180">
        <f>(Z34+W34)/P34</f>
        <v>0.58761329305135956</v>
      </c>
      <c r="H34" s="180">
        <f>(Z34/Q34)+((S34+X34+AA34)/(Q34+X34+AA34+AC34))</f>
        <v>0.97890264449490882</v>
      </c>
      <c r="I34" s="180">
        <f>V34/Z34</f>
        <v>4.778156996587031E-2</v>
      </c>
      <c r="J34" s="180">
        <f>(AB34+AC34)/Z34</f>
        <v>3.4129692832764506E-2</v>
      </c>
      <c r="K34" s="180">
        <f>Y34/P34</f>
        <v>3.7764350453172203E-2</v>
      </c>
      <c r="L34" s="180">
        <f>(X34+AA34)/P34</f>
        <v>0.13746223564954682</v>
      </c>
      <c r="M34" s="186">
        <f>(D34*0.7635+E34*0.7562+F34*0.75+G34*0.7248+H34*0.7021+I34*0.6285+1-J34*0.5884+1-K34*0.5276+L34*0.3663)/6.931</f>
        <v>0.57252013714427441</v>
      </c>
      <c r="N34" s="187">
        <f>M34/0.5104*100</f>
        <v>112.17087326494406</v>
      </c>
      <c r="O34" s="283">
        <f>(N34-100)/100*P34*0.3389</f>
        <v>27.305573245620774</v>
      </c>
      <c r="P34" s="197">
        <v>662</v>
      </c>
      <c r="Q34" s="189">
        <f>P34-X34-AA34-AB34-AC34</f>
        <v>561</v>
      </c>
      <c r="R34" s="188" t="s">
        <v>19</v>
      </c>
      <c r="S34" s="197">
        <v>209</v>
      </c>
      <c r="T34" s="197">
        <v>40</v>
      </c>
      <c r="U34" s="197">
        <v>1</v>
      </c>
      <c r="V34" s="197">
        <v>14</v>
      </c>
      <c r="W34" s="197">
        <v>96</v>
      </c>
      <c r="X34" s="197">
        <v>90</v>
      </c>
      <c r="Y34" s="197">
        <v>25</v>
      </c>
      <c r="Z34" s="188">
        <f>S34+T34+U34*2+V34*3</f>
        <v>293</v>
      </c>
      <c r="AA34" s="197">
        <v>1</v>
      </c>
      <c r="AB34" s="197">
        <v>5</v>
      </c>
      <c r="AC34" s="199">
        <v>5</v>
      </c>
      <c r="AD34" s="9"/>
      <c r="AE34" s="6">
        <v>1989</v>
      </c>
      <c r="AF34" s="77">
        <v>3.9410621559303395E-2</v>
      </c>
      <c r="AG34" s="85">
        <v>0.49701660988775132</v>
      </c>
      <c r="AH34" s="86">
        <v>0.50191343303830815</v>
      </c>
      <c r="AI34" s="76">
        <v>5.4238813244768267E-3</v>
      </c>
      <c r="AJ34" s="41">
        <v>5.0099999999999997E-3</v>
      </c>
      <c r="AK34" s="42">
        <v>1.0160404416589079E-2</v>
      </c>
      <c r="AL34" s="78">
        <v>7.7499999999999999E-3</v>
      </c>
      <c r="AM34" s="9"/>
    </row>
    <row r="35" spans="1:39" x14ac:dyDescent="0.2">
      <c r="A35" s="9"/>
      <c r="B35" s="196">
        <v>1999</v>
      </c>
      <c r="C35" s="207" t="s">
        <v>29</v>
      </c>
      <c r="D35" s="180">
        <f>(S35-V35)/(Q35-V35-Y35+AC35)</f>
        <v>0.31336405529953915</v>
      </c>
      <c r="E35" s="180">
        <f>Z35/P35</f>
        <v>0.51212553495007129</v>
      </c>
      <c r="F35" s="180">
        <f>(T35+U35+V35)/S35</f>
        <v>0.48066298342541436</v>
      </c>
      <c r="G35" s="180">
        <f>(Z35+W35)/P35</f>
        <v>0.66904422253922968</v>
      </c>
      <c r="H35" s="180">
        <f>(Z35/Q35)+((S35+X35+AA35)/(Q35+X35+AA35+AC35))</f>
        <v>1.0739558252634809</v>
      </c>
      <c r="I35" s="180">
        <f>V35/Z35</f>
        <v>0.12534818941504178</v>
      </c>
      <c r="J35" s="180">
        <f>(AB35+AC35)/Z35</f>
        <v>1.6713091922005572E-2</v>
      </c>
      <c r="K35" s="180">
        <f>Y35/P35</f>
        <v>0.1340941512125535</v>
      </c>
      <c r="L35" s="180">
        <f>(X35+AA35)/P35</f>
        <v>0.18259629101283881</v>
      </c>
      <c r="M35" s="186">
        <f>(D35*0.7635+E35*0.7562+F35*0.75+G35*0.7248+H35*0.7021+I35*0.6285+1-J35*0.5884+1-K35*0.5276+L35*0.3663)/6.931</f>
        <v>0.61911007960065378</v>
      </c>
      <c r="N35" s="187">
        <f>M35/0.5278*100</f>
        <v>117.30012876101814</v>
      </c>
      <c r="O35" s="283">
        <f>(N35-100)/100*P35*0.3389</f>
        <v>41.099725596134427</v>
      </c>
      <c r="P35" s="197">
        <v>701</v>
      </c>
      <c r="Q35" s="188">
        <f>P35-X35-AA35-AB35-AC35</f>
        <v>567</v>
      </c>
      <c r="R35" s="188" t="s">
        <v>19</v>
      </c>
      <c r="S35" s="197">
        <v>181</v>
      </c>
      <c r="T35" s="197">
        <v>41</v>
      </c>
      <c r="U35" s="197">
        <v>1</v>
      </c>
      <c r="V35" s="197">
        <v>45</v>
      </c>
      <c r="W35" s="197">
        <v>110</v>
      </c>
      <c r="X35" s="197">
        <v>126</v>
      </c>
      <c r="Y35" s="197">
        <v>94</v>
      </c>
      <c r="Z35" s="188">
        <f>S35+T35+U35*2+V35*3</f>
        <v>359</v>
      </c>
      <c r="AA35" s="197">
        <v>2</v>
      </c>
      <c r="AB35" s="197">
        <v>0</v>
      </c>
      <c r="AC35" s="197">
        <v>6</v>
      </c>
      <c r="AD35" s="9"/>
      <c r="AE35" s="6">
        <v>1988</v>
      </c>
      <c r="AF35" s="77">
        <v>4.0067762579997487E-2</v>
      </c>
      <c r="AG35" s="85">
        <v>0.49822737411476586</v>
      </c>
      <c r="AH35" s="86">
        <v>0.50115522858787109</v>
      </c>
      <c r="AI35" s="76">
        <v>5.2704228886936884E-3</v>
      </c>
      <c r="AJ35" s="41">
        <v>5.7600000000000004E-3</v>
      </c>
      <c r="AK35" s="42">
        <v>1.0227130129250847E-2</v>
      </c>
      <c r="AL35" s="78">
        <v>7.9399999999999991E-3</v>
      </c>
      <c r="AM35" s="9"/>
    </row>
    <row r="36" spans="1:39" x14ac:dyDescent="0.2">
      <c r="A36" s="9"/>
      <c r="B36" s="196">
        <v>2018</v>
      </c>
      <c r="C36" s="207" t="s">
        <v>335</v>
      </c>
      <c r="D36" s="180">
        <f>(S36-V36)/(Q36-V36-Y36+AC36)</f>
        <v>0.37283950617283951</v>
      </c>
      <c r="E36" s="180">
        <f>Z36/P36</f>
        <v>0.5268817204301075</v>
      </c>
      <c r="F36" s="180">
        <f>(T36+U36+V36)/S36</f>
        <v>0.41176470588235292</v>
      </c>
      <c r="G36" s="180">
        <f>(Z36+W36)/P36</f>
        <v>0.69585253456221197</v>
      </c>
      <c r="H36" s="180">
        <f>(Z36/Q36)+((S36+X36+AA36)/(Q36+X36+AA36+AC36))</f>
        <v>1.0000187329062231</v>
      </c>
      <c r="I36" s="180">
        <f>V36/Z36</f>
        <v>0.10495626822157435</v>
      </c>
      <c r="J36" s="180">
        <f>(AB36+AC36)/Z36</f>
        <v>5.8309037900874635E-3</v>
      </c>
      <c r="K36" s="180">
        <f>Y36/P36</f>
        <v>0.20737327188940091</v>
      </c>
      <c r="L36" s="180">
        <f>(X36+AA36)/P36</f>
        <v>0.1152073732718894</v>
      </c>
      <c r="M36" s="186">
        <f>(D36*0.7635+E36*0.7562+F36*0.75+G36*0.7248+H36*0.7021+I36*0.6285+1-J36*0.5884+1-K36*0.5276+L36*0.3663)/6.931</f>
        <v>0.60506506307256425</v>
      </c>
      <c r="N36" s="187">
        <f>M36/0.5164*100</f>
        <v>117.16984180336256</v>
      </c>
      <c r="O36" s="283">
        <f>(N36-100)/100*P36*0.3389</f>
        <v>37.880774610408807</v>
      </c>
      <c r="P36" s="197">
        <v>651</v>
      </c>
      <c r="Q36" s="188">
        <f>P36-X36-AA36-AB36-AC36</f>
        <v>574</v>
      </c>
      <c r="R36" s="188" t="s">
        <v>19</v>
      </c>
      <c r="S36" s="197">
        <v>187</v>
      </c>
      <c r="T36" s="197">
        <v>34</v>
      </c>
      <c r="U36" s="197">
        <v>7</v>
      </c>
      <c r="V36" s="197">
        <v>36</v>
      </c>
      <c r="W36" s="197">
        <v>110</v>
      </c>
      <c r="X36" s="197">
        <v>68</v>
      </c>
      <c r="Y36" s="197">
        <v>135</v>
      </c>
      <c r="Z36" s="188">
        <f>S36+T36+U36*2+V36*3</f>
        <v>343</v>
      </c>
      <c r="AA36" s="197">
        <v>7</v>
      </c>
      <c r="AB36" s="197">
        <v>0</v>
      </c>
      <c r="AC36" s="197">
        <v>2</v>
      </c>
      <c r="AD36" s="9"/>
      <c r="AE36" s="6">
        <v>1987</v>
      </c>
      <c r="AF36" s="77">
        <v>4.1952298020034334E-2</v>
      </c>
      <c r="AG36" s="85">
        <v>0.51807313868902594</v>
      </c>
      <c r="AH36" s="86">
        <v>0.48872741920368279</v>
      </c>
      <c r="AI36" s="76">
        <v>5.5335284890255798E-3</v>
      </c>
      <c r="AJ36" s="41">
        <v>5.1999999999999998E-3</v>
      </c>
      <c r="AK36" s="42">
        <v>8.9858079816207796E-3</v>
      </c>
      <c r="AL36" s="78">
        <v>6.8599999999999998E-3</v>
      </c>
      <c r="AM36" s="9"/>
    </row>
    <row r="37" spans="1:39" x14ac:dyDescent="0.2">
      <c r="A37" s="9"/>
      <c r="B37" s="196">
        <v>1932</v>
      </c>
      <c r="C37" s="207" t="s">
        <v>143</v>
      </c>
      <c r="D37" s="180">
        <f>(S37-V37)/(Q37-V37-Y37+AC37)</f>
        <v>0.3339253996447602</v>
      </c>
      <c r="E37" s="180">
        <f>Z37/P37</f>
        <v>0.59071729957805907</v>
      </c>
      <c r="F37" s="180">
        <f>(T37+U37+V37)/S37</f>
        <v>0.45575221238938052</v>
      </c>
      <c r="G37" s="180">
        <f>(Z37+W37)/P37</f>
        <v>0.78340365682137836</v>
      </c>
      <c r="H37" s="180">
        <f>(Z37/Q37)+((S37+X37+AA37)/(Q37+X37+AA37+AC37))</f>
        <v>1.0558307344218187</v>
      </c>
      <c r="I37" s="180">
        <f>V37/Z37</f>
        <v>9.0476190476190474E-2</v>
      </c>
      <c r="J37" s="180">
        <f>(AB37+AC37)/Z37</f>
        <v>1.4285714285714285E-2</v>
      </c>
      <c r="K37" s="180">
        <f>Y37/P37</f>
        <v>6.8917018284106887E-2</v>
      </c>
      <c r="L37" s="180">
        <f>(X37+AA37)/P37</f>
        <v>8.5794655414908577E-2</v>
      </c>
      <c r="M37" s="186">
        <f>(D37*0.7635+E37*0.7562+F37*0.75+G37*0.7248+H37*0.7021+I37*0.6285+1-J37*0.5884+1-K37*0.5276+L37*0.3663)/6.931</f>
        <v>0.63426646772814732</v>
      </c>
      <c r="N37" s="187">
        <f>M37/0.5064*100</f>
        <v>125.25009236337823</v>
      </c>
      <c r="O37" s="283">
        <f>(N37-100)/100*P37*0.3389</f>
        <v>60.842092306856543</v>
      </c>
      <c r="P37" s="197">
        <v>711</v>
      </c>
      <c r="Q37" s="189">
        <f>P37-X37-AA37-AB37-AC37</f>
        <v>644</v>
      </c>
      <c r="R37" s="188" t="s">
        <v>19</v>
      </c>
      <c r="S37" s="197">
        <v>226</v>
      </c>
      <c r="T37" s="197">
        <v>50</v>
      </c>
      <c r="U37" s="197">
        <v>15</v>
      </c>
      <c r="V37" s="197">
        <v>38</v>
      </c>
      <c r="W37" s="197">
        <v>137</v>
      </c>
      <c r="X37" s="197">
        <v>60</v>
      </c>
      <c r="Y37" s="197">
        <v>49</v>
      </c>
      <c r="Z37" s="188">
        <f>S37+T37+U37*2+V37*3</f>
        <v>420</v>
      </c>
      <c r="AA37" s="197">
        <v>1</v>
      </c>
      <c r="AB37" s="197">
        <v>0</v>
      </c>
      <c r="AC37" s="199">
        <v>6</v>
      </c>
      <c r="AD37" s="9"/>
      <c r="AE37" s="6">
        <v>1986</v>
      </c>
      <c r="AF37" s="77">
        <v>4.0476693729873552E-2</v>
      </c>
      <c r="AG37" s="85">
        <v>0.50759881957154451</v>
      </c>
      <c r="AH37" s="86">
        <v>0.49528664452020466</v>
      </c>
      <c r="AI37" s="76">
        <v>5.3152469880267065E-3</v>
      </c>
      <c r="AJ37" s="41">
        <v>5.0499999999999998E-3</v>
      </c>
      <c r="AK37" s="42">
        <v>9.4182446629946914E-3</v>
      </c>
      <c r="AL37" s="78">
        <v>7.3000000000000001E-3</v>
      </c>
      <c r="AM37" s="9"/>
    </row>
    <row r="38" spans="1:39" x14ac:dyDescent="0.2">
      <c r="A38" s="9"/>
      <c r="B38" s="210">
        <v>2014</v>
      </c>
      <c r="C38" s="211" t="s">
        <v>341</v>
      </c>
      <c r="D38" s="181">
        <f>(S38-V38)/(Q38-V38-Y38+AC38)</f>
        <v>0.2813852813852814</v>
      </c>
      <c r="E38" s="181">
        <f>Z38/P38</f>
        <v>0.27369826435246997</v>
      </c>
      <c r="F38" s="181">
        <f>(T38+U38+V38)/S38</f>
        <v>0.30935251798561153</v>
      </c>
      <c r="G38" s="181">
        <f>(Z38+R38)/P38</f>
        <v>0.32977303070761016</v>
      </c>
      <c r="H38" s="181">
        <f>(Z38/Q38)+((S38+X38+AA38)/(Q38+X38+AA38+AC38))</f>
        <v>0.5206335767587279</v>
      </c>
      <c r="I38" s="181">
        <f>V38/Z38</f>
        <v>4.3902439024390241E-2</v>
      </c>
      <c r="J38" s="181">
        <f>(AB38+AC38)/Z38</f>
        <v>3.4146341463414637E-2</v>
      </c>
      <c r="K38" s="227">
        <f>Y38/P38</f>
        <v>0.31909212283044058</v>
      </c>
      <c r="L38" s="181">
        <f>(X38+AA38)/P38</f>
        <v>4.4058744993324434E-2</v>
      </c>
      <c r="M38" s="190">
        <f>(1-D38*0.7635+1-E38*0.7562+1-F38*0.75+1-G38*0.7248+1-H38*0.7021+1-I38*0.6285+J38*0.5884+K38*0.5276+1-L38*0.3663)/11.068</f>
        <v>0.53183360181380035</v>
      </c>
      <c r="N38" s="191">
        <f>M38/0.4981*100</f>
        <v>106.77245569439879</v>
      </c>
      <c r="O38" s="192">
        <f>(N38-100)/100*P38*0.6611</f>
        <v>33.534755742157117</v>
      </c>
      <c r="P38" s="188">
        <v>749</v>
      </c>
      <c r="Q38" s="188">
        <f>P38-X38-AA38-AB38-AC38</f>
        <v>709</v>
      </c>
      <c r="R38" s="188">
        <v>42</v>
      </c>
      <c r="S38" s="188">
        <v>139</v>
      </c>
      <c r="T38" s="188">
        <v>29</v>
      </c>
      <c r="U38" s="188">
        <v>5</v>
      </c>
      <c r="V38" s="188">
        <v>9</v>
      </c>
      <c r="W38" s="188" t="s">
        <v>19</v>
      </c>
      <c r="X38" s="188">
        <v>31</v>
      </c>
      <c r="Y38" s="188">
        <v>239</v>
      </c>
      <c r="Z38" s="188">
        <f>S38+T38+U38*2+V38*3</f>
        <v>205</v>
      </c>
      <c r="AA38" s="188">
        <v>2</v>
      </c>
      <c r="AB38" s="188">
        <v>6</v>
      </c>
      <c r="AC38" s="188">
        <v>1</v>
      </c>
      <c r="AD38" s="9"/>
      <c r="AE38" s="6">
        <v>1985</v>
      </c>
      <c r="AF38" s="77">
        <v>4.0063622754491018E-2</v>
      </c>
      <c r="AG38" s="85">
        <v>0.50577926394598682</v>
      </c>
      <c r="AH38" s="86">
        <v>0.49642608615742362</v>
      </c>
      <c r="AI38" s="76">
        <v>6.0192115768463077E-3</v>
      </c>
      <c r="AJ38" s="41">
        <v>4.3600000000000002E-3</v>
      </c>
      <c r="AK38" s="42">
        <v>9.6619261477045911E-3</v>
      </c>
      <c r="AL38" s="78">
        <v>7.1399999999999996E-3</v>
      </c>
      <c r="AM38" s="9"/>
    </row>
    <row r="39" spans="1:39" x14ac:dyDescent="0.2">
      <c r="A39" s="9"/>
      <c r="B39" s="196">
        <v>2019</v>
      </c>
      <c r="C39" s="207" t="s">
        <v>333</v>
      </c>
      <c r="D39" s="180">
        <f>(S39-V39)/(Q39-V39-Y39+AC39)</f>
        <v>0.3014705882352941</v>
      </c>
      <c r="E39" s="180">
        <f>Z39/P39</f>
        <v>0.53101361573373673</v>
      </c>
      <c r="F39" s="180">
        <f>(T39+U39+V39)/S39</f>
        <v>0.49411764705882355</v>
      </c>
      <c r="G39" s="180">
        <f>(Z39+W39)/P39</f>
        <v>0.70499243570347958</v>
      </c>
      <c r="H39" s="180">
        <f>(Z39/Q39)+((S39+X39+AA39)/(Q39+X39+AA39+AC39))</f>
        <v>1.033353270238891</v>
      </c>
      <c r="I39" s="180">
        <f>V39/Z39</f>
        <v>0.13390313390313391</v>
      </c>
      <c r="J39" s="180">
        <f>(AB39+AC39)/Z39</f>
        <v>1.1396011396011397E-2</v>
      </c>
      <c r="K39" s="180">
        <f>Y39/P39</f>
        <v>0.16338880484114976</v>
      </c>
      <c r="L39" s="180">
        <f>(X39+AA39)/P39</f>
        <v>0.14826021180030258</v>
      </c>
      <c r="M39" s="186">
        <f>(D39*0.7635+E39*0.7562+F39*0.75+G39*0.7248+H39*0.7021+I39*0.6285+1-J39*0.5884+1-K39*0.5276+L39*0.3663)/6.931</f>
        <v>0.61814541375893661</v>
      </c>
      <c r="N39" s="187">
        <f>M39/0.529*100</f>
        <v>116.85168502059294</v>
      </c>
      <c r="O39" s="283">
        <f>(N39-100)/100*P39*0.3389</f>
        <v>37.749948313495835</v>
      </c>
      <c r="P39" s="197">
        <v>661</v>
      </c>
      <c r="Q39" s="188">
        <f>P39-X39-AA39-AB39-AC39</f>
        <v>559</v>
      </c>
      <c r="R39" s="188" t="s">
        <v>19</v>
      </c>
      <c r="S39" s="197">
        <v>170</v>
      </c>
      <c r="T39" s="197">
        <v>34</v>
      </c>
      <c r="U39" s="197">
        <v>3</v>
      </c>
      <c r="V39" s="197">
        <v>47</v>
      </c>
      <c r="W39" s="197">
        <v>115</v>
      </c>
      <c r="X39" s="197">
        <v>95</v>
      </c>
      <c r="Y39" s="197">
        <v>108</v>
      </c>
      <c r="Z39" s="188">
        <f>S39+T39+U39*2+V39*3</f>
        <v>351</v>
      </c>
      <c r="AA39" s="197">
        <v>3</v>
      </c>
      <c r="AB39" s="197">
        <v>0</v>
      </c>
      <c r="AC39" s="197">
        <v>4</v>
      </c>
      <c r="AD39" s="9"/>
      <c r="AE39" s="6">
        <v>1984</v>
      </c>
      <c r="AF39" s="77">
        <v>3.8694368670826949E-2</v>
      </c>
      <c r="AG39" s="85">
        <v>0.5016710258720487</v>
      </c>
      <c r="AH39" s="86">
        <v>0.49899874590538768</v>
      </c>
      <c r="AI39" s="76">
        <v>6.1345490327964821E-3</v>
      </c>
      <c r="AJ39" s="41">
        <v>4.1599999999999996E-3</v>
      </c>
      <c r="AK39" s="42">
        <v>8.9371348853430985E-3</v>
      </c>
      <c r="AL39" s="78">
        <v>8.0099999999999998E-3</v>
      </c>
      <c r="AM39" s="9"/>
    </row>
    <row r="40" spans="1:39" x14ac:dyDescent="0.2">
      <c r="A40" s="9"/>
      <c r="B40" s="196">
        <v>1983</v>
      </c>
      <c r="C40" s="207" t="s">
        <v>372</v>
      </c>
      <c r="D40" s="180">
        <f>(S40-V40)/(Q40-V40-Y40+AC40)</f>
        <v>0.31625835189309576</v>
      </c>
      <c r="E40" s="180">
        <f>Z40/P40</f>
        <v>0.46288209606986902</v>
      </c>
      <c r="F40" s="180">
        <f>(T40+U40+V40)/S40</f>
        <v>0.3595505617977528</v>
      </c>
      <c r="G40" s="180">
        <f>(Z40+W40)/P40</f>
        <v>0.63901018922852981</v>
      </c>
      <c r="H40" s="180">
        <f>(Z40/Q40)+((S40+X40+AA40)/(Q40+X40+AA40+AC40))</f>
        <v>0.93291123286452504</v>
      </c>
      <c r="I40" s="180">
        <f>V40/Z40</f>
        <v>0.11320754716981132</v>
      </c>
      <c r="J40" s="180">
        <f>(AB40+AC40)/Z40</f>
        <v>1.8867924528301886E-2</v>
      </c>
      <c r="K40" s="180">
        <f>Y40/P40</f>
        <v>0.16011644832605532</v>
      </c>
      <c r="L40" s="180">
        <f>(X40+AA40)/P40</f>
        <v>0.1339155749636099</v>
      </c>
      <c r="M40" s="186">
        <f>(D40*0.7635+E40*0.7562+F40*0.75+G40*0.7248+H40*0.7021+I40*0.6285+1-J40*0.5884+1-K40*0.5276+L40*0.3663)/6.931</f>
        <v>0.57768490396621941</v>
      </c>
      <c r="N40" s="187">
        <f>M40/0.5044*100</f>
        <v>114.52912449766444</v>
      </c>
      <c r="O40" s="283">
        <f>(N40-100)/100*P40*0.3389</f>
        <v>33.827332407815753</v>
      </c>
      <c r="P40" s="197">
        <v>687</v>
      </c>
      <c r="Q40" s="188">
        <f>P40-X40-AA40-AB40-AC40</f>
        <v>589</v>
      </c>
      <c r="R40" s="188" t="s">
        <v>19</v>
      </c>
      <c r="S40" s="197">
        <v>178</v>
      </c>
      <c r="T40" s="197">
        <v>24</v>
      </c>
      <c r="U40" s="197">
        <v>4</v>
      </c>
      <c r="V40" s="197">
        <v>36</v>
      </c>
      <c r="W40" s="197">
        <v>121</v>
      </c>
      <c r="X40" s="197">
        <v>90</v>
      </c>
      <c r="Y40" s="197">
        <v>110</v>
      </c>
      <c r="Z40" s="188">
        <f>S40+T40+U40*2+V40*3</f>
        <v>318</v>
      </c>
      <c r="AA40" s="197">
        <v>2</v>
      </c>
      <c r="AB40" s="197">
        <v>0</v>
      </c>
      <c r="AC40" s="197">
        <v>6</v>
      </c>
      <c r="AD40" s="9"/>
      <c r="AE40" s="6">
        <v>1983</v>
      </c>
      <c r="AF40" s="77">
        <v>4.0239081032282166E-2</v>
      </c>
      <c r="AG40" s="85">
        <v>0.50442766904064618</v>
      </c>
      <c r="AH40" s="86">
        <v>0.49727248155757864</v>
      </c>
      <c r="AI40" s="76">
        <v>6.4315288111322106E-3</v>
      </c>
      <c r="AJ40" s="41">
        <v>4.4600000000000004E-3</v>
      </c>
      <c r="AK40" s="42">
        <v>9.7188930050119849E-3</v>
      </c>
      <c r="AL40" s="78">
        <v>7.8200000000000006E-3</v>
      </c>
      <c r="AM40" s="9"/>
    </row>
    <row r="41" spans="1:39" x14ac:dyDescent="0.2">
      <c r="A41" s="9"/>
      <c r="B41" s="196">
        <v>1982</v>
      </c>
      <c r="C41" s="207" t="s">
        <v>372</v>
      </c>
      <c r="D41" s="180">
        <f>(S41-V41)/(Q41-V41-Y41+AC41)</f>
        <v>0.30555555555555558</v>
      </c>
      <c r="E41" s="180">
        <f>Z41/P41</f>
        <v>0.43409742120343842</v>
      </c>
      <c r="F41" s="180">
        <f>(T41+U41+V41)/S41</f>
        <v>0.36309523809523808</v>
      </c>
      <c r="G41" s="180">
        <f>(Z41+W41)/P41</f>
        <v>0.5902578796561605</v>
      </c>
      <c r="H41" s="180">
        <f>(Z41/Q41)+((S41+X41+AA41)/(Q41+X41+AA41+AC41))</f>
        <v>0.88491245891270809</v>
      </c>
      <c r="I41" s="180">
        <f>V41/Z41</f>
        <v>0.11881188118811881</v>
      </c>
      <c r="J41" s="180">
        <f>(AB41+AC41)/Z41</f>
        <v>1.3201320132013201E-2</v>
      </c>
      <c r="K41" s="180">
        <f>Y41/P41</f>
        <v>0.19197707736389685</v>
      </c>
      <c r="L41" s="180">
        <f>(X41+AA41)/P41</f>
        <v>0.13753581661891118</v>
      </c>
      <c r="M41" s="186">
        <f>(D41*0.7635+E41*0.7562+F41*0.75+G41*0.7248+H41*0.7021+I41*0.6285+1-J41*0.5884+1-K41*0.5276+L41*0.3663)/6.931</f>
        <v>0.56254384474114905</v>
      </c>
      <c r="N41" s="187">
        <f>M41/0.5036*100</f>
        <v>111.70449657290489</v>
      </c>
      <c r="O41" s="283">
        <f>(N41-100)/100*P41*0.3389</f>
        <v>27.68724414213111</v>
      </c>
      <c r="P41" s="197">
        <v>698</v>
      </c>
      <c r="Q41" s="188">
        <f>P41-X41-AA41-AB41-AC41</f>
        <v>598</v>
      </c>
      <c r="R41" s="188" t="s">
        <v>19</v>
      </c>
      <c r="S41" s="197">
        <v>168</v>
      </c>
      <c r="T41" s="197">
        <v>23</v>
      </c>
      <c r="U41" s="197">
        <v>2</v>
      </c>
      <c r="V41" s="197">
        <v>36</v>
      </c>
      <c r="W41" s="197">
        <v>109</v>
      </c>
      <c r="X41" s="197">
        <v>93</v>
      </c>
      <c r="Y41" s="197">
        <v>134</v>
      </c>
      <c r="Z41" s="188">
        <f>S41+T41+U41*2+V41*3</f>
        <v>303</v>
      </c>
      <c r="AA41" s="197">
        <v>3</v>
      </c>
      <c r="AB41" s="197">
        <v>0</v>
      </c>
      <c r="AC41" s="197">
        <v>4</v>
      </c>
      <c r="AD41" s="9"/>
      <c r="AE41" s="6">
        <v>1982</v>
      </c>
      <c r="AF41" s="77">
        <v>3.9204489025722516E-2</v>
      </c>
      <c r="AG41" s="85">
        <v>0.50355533470492853</v>
      </c>
      <c r="AH41" s="86">
        <v>0.49781875453199681</v>
      </c>
      <c r="AI41" s="76">
        <v>5.9837123845466285E-3</v>
      </c>
      <c r="AJ41" s="41">
        <v>4.1999999999999997E-3</v>
      </c>
      <c r="AK41" s="42">
        <v>1.0800476710696196E-2</v>
      </c>
      <c r="AL41" s="78">
        <v>7.5799999999999999E-3</v>
      </c>
      <c r="AM41" s="9"/>
    </row>
    <row r="42" spans="1:39" x14ac:dyDescent="0.2">
      <c r="A42" s="9"/>
      <c r="B42" s="196">
        <v>1978</v>
      </c>
      <c r="C42" s="207" t="s">
        <v>375</v>
      </c>
      <c r="D42" s="180">
        <f>(S42-V42)/(Q42-V42-Y42+AC42)</f>
        <v>0.35574837310195229</v>
      </c>
      <c r="E42" s="180">
        <f>Z42/P42</f>
        <v>0.52959501557632394</v>
      </c>
      <c r="F42" s="180">
        <f>(T42+U42+V42)/S42</f>
        <v>0.38144329896907214</v>
      </c>
      <c r="G42" s="180">
        <f>(Z42+W42)/P42</f>
        <v>0.71183800623052962</v>
      </c>
      <c r="H42" s="180">
        <f>(Z42/Q42)+((S42+X42+AA42)/(Q42+X42+AA42+AC42))</f>
        <v>0.97927893148026013</v>
      </c>
      <c r="I42" s="180">
        <f>V42/Z42</f>
        <v>8.8235294117647065E-2</v>
      </c>
      <c r="J42" s="180">
        <f>(AB42+AC42)/Z42</f>
        <v>5.8823529411764705E-3</v>
      </c>
      <c r="K42" s="180">
        <f>Y42/P42</f>
        <v>0.14330218068535824</v>
      </c>
      <c r="L42" s="180">
        <f>(X42+AA42)/P42</f>
        <v>9.1900311526479747E-2</v>
      </c>
      <c r="M42" s="186">
        <f>(D42*0.7635+E42*0.7562+F42*0.75+G42*0.7248+H42*0.7021+I42*0.6285+1-J42*0.5884+1-K42*0.5276+L42*0.3663)/6.931</f>
        <v>0.60189288588112055</v>
      </c>
      <c r="N42" s="187">
        <f>M42/0.4982*100</f>
        <v>120.81350579709364</v>
      </c>
      <c r="O42" s="283">
        <f>(N42-100)/100*P42*0.3389</f>
        <v>45.284735475956921</v>
      </c>
      <c r="P42" s="197">
        <v>642</v>
      </c>
      <c r="Q42" s="188">
        <f>P42-X42-AA42-AB42-AC42</f>
        <v>581</v>
      </c>
      <c r="R42" s="188" t="s">
        <v>19</v>
      </c>
      <c r="S42" s="197">
        <v>194</v>
      </c>
      <c r="T42" s="197">
        <v>32</v>
      </c>
      <c r="U42" s="197">
        <v>12</v>
      </c>
      <c r="V42" s="197">
        <v>30</v>
      </c>
      <c r="W42" s="197">
        <v>117</v>
      </c>
      <c r="X42" s="197">
        <v>57</v>
      </c>
      <c r="Y42" s="197">
        <v>92</v>
      </c>
      <c r="Z42" s="188">
        <f>S42+T42+U42*2+V42*3</f>
        <v>340</v>
      </c>
      <c r="AA42" s="197">
        <v>2</v>
      </c>
      <c r="AB42" s="197">
        <v>0</v>
      </c>
      <c r="AC42" s="197">
        <v>2</v>
      </c>
      <c r="AD42" s="9"/>
      <c r="AE42" s="6">
        <v>1981</v>
      </c>
      <c r="AF42" s="77">
        <v>3.7774336116042757E-2</v>
      </c>
      <c r="AG42" s="85">
        <v>0.49315559782977575</v>
      </c>
      <c r="AH42" s="86">
        <v>0.50433127497667363</v>
      </c>
      <c r="AI42" s="76">
        <v>6.2233218751180444E-3</v>
      </c>
      <c r="AJ42" s="41">
        <v>4.3800000000000002E-3</v>
      </c>
      <c r="AK42" s="42">
        <v>1.1823367204321384E-2</v>
      </c>
      <c r="AL42" s="78">
        <v>7.8300000000000002E-3</v>
      </c>
      <c r="AM42" s="9"/>
    </row>
    <row r="43" spans="1:39" x14ac:dyDescent="0.2">
      <c r="A43" s="9"/>
      <c r="B43" s="210">
        <v>1924</v>
      </c>
      <c r="C43" s="211" t="s">
        <v>218</v>
      </c>
      <c r="D43" s="181">
        <f>(S43-V43)/(Q43-V43-Y43+AC43)</f>
        <v>0.26674500587544064</v>
      </c>
      <c r="E43" s="181">
        <f>Z43/P43</f>
        <v>0.25880425880425878</v>
      </c>
      <c r="F43" s="181">
        <f>(T43+U43+V43)/S43</f>
        <v>0.20588235294117646</v>
      </c>
      <c r="G43" s="181">
        <f>(Z43+R43)/P43</f>
        <v>0.33169533169533172</v>
      </c>
      <c r="H43" s="181">
        <f>(Z43/Q43)+((S43+X43+AA43)/(Q43+X43+AA43+AC43))</f>
        <v>0.55041618001448867</v>
      </c>
      <c r="I43" s="181">
        <f>V43/Z43</f>
        <v>3.4810126582278479E-2</v>
      </c>
      <c r="J43" s="181">
        <f>(AB43+AC43)/Z43</f>
        <v>5.3797468354430382E-2</v>
      </c>
      <c r="K43" s="181">
        <f>Y43/P43</f>
        <v>0.21457821457821458</v>
      </c>
      <c r="L43" s="181">
        <f>(X43+AA43)/P43</f>
        <v>7.0434070434070434E-2</v>
      </c>
      <c r="M43" s="190">
        <f>(1-D43*0.7635+1-E43*0.7562+1-F43*0.75+1-G43*0.7248+1-H43*0.7021+1-I43*0.6285+J43*0.5884+K43*0.5276+1-L43*0.3663)/11.068</f>
        <v>0.53456346207388328</v>
      </c>
      <c r="N43" s="191">
        <f>M43/0.4998*100</f>
        <v>106.9554746046185</v>
      </c>
      <c r="O43" s="192">
        <f>(N43-100)/100*P43*0.6611</f>
        <v>56.144806628193294</v>
      </c>
      <c r="P43" s="197">
        <v>1221</v>
      </c>
      <c r="Q43" s="188">
        <f>P43-X43-AA43-AB43-AC43</f>
        <v>1118</v>
      </c>
      <c r="R43" s="197">
        <v>89</v>
      </c>
      <c r="S43" s="197">
        <v>238</v>
      </c>
      <c r="T43" s="197">
        <v>31</v>
      </c>
      <c r="U43" s="197">
        <v>7</v>
      </c>
      <c r="V43" s="197">
        <v>11</v>
      </c>
      <c r="W43" s="188" t="s">
        <v>19</v>
      </c>
      <c r="X43" s="197">
        <v>77</v>
      </c>
      <c r="Y43" s="197">
        <v>262</v>
      </c>
      <c r="Z43" s="188">
        <f>S43+T43+U43*2+V43*3</f>
        <v>316</v>
      </c>
      <c r="AA43" s="197">
        <v>9</v>
      </c>
      <c r="AB43" s="197">
        <v>11</v>
      </c>
      <c r="AC43" s="197">
        <v>6</v>
      </c>
      <c r="AD43" s="9"/>
      <c r="AE43" s="6">
        <v>1980</v>
      </c>
      <c r="AF43" s="77">
        <v>3.9358600583090382E-2</v>
      </c>
      <c r="AG43" s="85">
        <v>0.50257550183499744</v>
      </c>
      <c r="AH43" s="86">
        <v>0.49843234520976093</v>
      </c>
      <c r="AI43" s="76">
        <v>6.6745239129086288E-3</v>
      </c>
      <c r="AJ43" s="41">
        <v>4.0800000000000003E-3</v>
      </c>
      <c r="AK43" s="42">
        <v>1.16804168475901E-2</v>
      </c>
      <c r="AL43" s="78">
        <v>8.0400000000000003E-3</v>
      </c>
      <c r="AM43" s="9"/>
    </row>
    <row r="44" spans="1:39" x14ac:dyDescent="0.2">
      <c r="A44" s="9"/>
      <c r="B44" s="210">
        <v>1992</v>
      </c>
      <c r="C44" s="211" t="s">
        <v>75</v>
      </c>
      <c r="D44" s="181">
        <f>(S44-V44)/(Q44-V44-Y44+AC44)</f>
        <v>0.29081632653061223</v>
      </c>
      <c r="E44" s="181">
        <f>Z44/P44</f>
        <v>0.29126213592233008</v>
      </c>
      <c r="F44" s="181">
        <f>(T44+U44+V44)/S44</f>
        <v>0.27419354838709675</v>
      </c>
      <c r="G44" s="181">
        <f>(Z44+R44)/P44</f>
        <v>0.34627831715210355</v>
      </c>
      <c r="H44" s="181">
        <f>(Z44/Q44)+((S44+X44+AA44)/(Q44+X44+AA44+AC44))</f>
        <v>0.547952514339069</v>
      </c>
      <c r="I44" s="181">
        <f>V44/Z44</f>
        <v>5.5555555555555552E-2</v>
      </c>
      <c r="J44" s="181">
        <f>(AB44+AC44)/Z44</f>
        <v>3.3333333333333333E-2</v>
      </c>
      <c r="K44" s="181">
        <f>Y44/P44</f>
        <v>0.30097087378640774</v>
      </c>
      <c r="L44" s="181">
        <f>(X44+AA44)/P44</f>
        <v>3.8834951456310676E-2</v>
      </c>
      <c r="M44" s="190">
        <f>(1-D44*0.7635+1-E44*0.7562+1-F44*0.75+1-G44*0.7248+1-H44*0.7021+1-I44*0.6285+J44*0.5884+K44*0.5276+1-L44*0.3663)/11.068</f>
        <v>0.52815574797503717</v>
      </c>
      <c r="N44" s="191">
        <f>M44/0.5012*100</f>
        <v>105.37824181465227</v>
      </c>
      <c r="O44" s="192">
        <f>(N44-100)/100*P44*0.6611</f>
        <v>10.986667000729843</v>
      </c>
      <c r="P44" s="197">
        <v>309</v>
      </c>
      <c r="Q44" s="188">
        <f>P44-X44-AA44-AB44-AC44</f>
        <v>294</v>
      </c>
      <c r="R44" s="197">
        <v>17</v>
      </c>
      <c r="S44" s="197">
        <v>62</v>
      </c>
      <c r="T44" s="197">
        <v>11</v>
      </c>
      <c r="U44" s="197">
        <v>1</v>
      </c>
      <c r="V44" s="197">
        <v>5</v>
      </c>
      <c r="W44" s="188" t="s">
        <v>19</v>
      </c>
      <c r="X44" s="197">
        <v>11</v>
      </c>
      <c r="Y44" s="197">
        <v>93</v>
      </c>
      <c r="Z44" s="188">
        <f>S44+T44+U44*2+V44*3</f>
        <v>90</v>
      </c>
      <c r="AA44" s="197">
        <v>1</v>
      </c>
      <c r="AB44" s="197">
        <v>3</v>
      </c>
      <c r="AC44" s="197">
        <v>0</v>
      </c>
      <c r="AD44" s="9"/>
      <c r="AE44" s="6">
        <v>1979</v>
      </c>
      <c r="AF44" s="77">
        <v>3.9999251767698814E-2</v>
      </c>
      <c r="AG44" s="85">
        <v>0.50784172760330148</v>
      </c>
      <c r="AH44" s="86">
        <v>0.49513453071752056</v>
      </c>
      <c r="AI44" s="76">
        <v>6.6467969422239958E-3</v>
      </c>
      <c r="AJ44" s="41">
        <v>4.7000000000000002E-3</v>
      </c>
      <c r="AK44" s="42">
        <v>1.1822070358777389E-2</v>
      </c>
      <c r="AL44" s="78">
        <v>8.1899999999999994E-3</v>
      </c>
      <c r="AM44" s="9"/>
    </row>
    <row r="45" spans="1:39" x14ac:dyDescent="0.2">
      <c r="A45" s="9"/>
      <c r="B45" s="210">
        <v>1968</v>
      </c>
      <c r="C45" s="211" t="s">
        <v>386</v>
      </c>
      <c r="D45" s="181">
        <f>(S45-V45)/(Q45-V45-Y45+AC45)</f>
        <v>0.23385300668151449</v>
      </c>
      <c r="E45" s="181">
        <f>Z45/P45</f>
        <v>0.296583850931677</v>
      </c>
      <c r="F45" s="181">
        <f>(T45+U45+V45)/S45</f>
        <v>0.30705394190871371</v>
      </c>
      <c r="G45" s="181">
        <f>(Z45+R45)/P45</f>
        <v>0.36335403726708076</v>
      </c>
      <c r="H45" s="181">
        <f>(Z45/Q45)+((S45+X45+AA45)/(Q45+X45+AA45+AC45))</f>
        <v>0.55931609557844575</v>
      </c>
      <c r="I45" s="181">
        <f>V45/Z45</f>
        <v>8.1151832460732987E-2</v>
      </c>
      <c r="J45" s="181">
        <f>(AB45+AC45)/Z45</f>
        <v>3.4031413612565446E-2</v>
      </c>
      <c r="K45" s="181">
        <f>Y45/P45</f>
        <v>0.21739130434782608</v>
      </c>
      <c r="L45" s="181">
        <f>(X45+AA45)/P45</f>
        <v>5.3571428571428568E-2</v>
      </c>
      <c r="M45" s="190">
        <f>(1-D45*0.7635+1-E45*0.7562+1-F45*0.75+1-G45*0.7248+1-H45*0.7021+1-I45*0.6285+J45*0.5884+K45*0.5276+1-L45*0.3663)/11.068</f>
        <v>0.52176760236104525</v>
      </c>
      <c r="N45" s="191">
        <f>M45/0.5146*100</f>
        <v>101.39284927342504</v>
      </c>
      <c r="O45" s="192">
        <f>(N45-100)/100*P45*0.6611</f>
        <v>11.860066992037488</v>
      </c>
      <c r="P45" s="197">
        <v>1288</v>
      </c>
      <c r="Q45" s="188">
        <f>P45-X45-AA45-AB45-AC45</f>
        <v>1206</v>
      </c>
      <c r="R45" s="197">
        <v>86</v>
      </c>
      <c r="S45" s="197">
        <v>241</v>
      </c>
      <c r="T45" s="197">
        <v>38</v>
      </c>
      <c r="U45" s="197">
        <v>5</v>
      </c>
      <c r="V45" s="197">
        <v>31</v>
      </c>
      <c r="W45" s="188" t="s">
        <v>19</v>
      </c>
      <c r="X45" s="197">
        <v>63</v>
      </c>
      <c r="Y45" s="197">
        <v>280</v>
      </c>
      <c r="Z45" s="188">
        <f>S45+T45+U45*2+V45*3</f>
        <v>382</v>
      </c>
      <c r="AA45" s="197">
        <v>6</v>
      </c>
      <c r="AB45" s="197">
        <v>10</v>
      </c>
      <c r="AC45" s="197">
        <v>3</v>
      </c>
      <c r="AD45" s="9"/>
      <c r="AE45" s="6">
        <v>1978</v>
      </c>
      <c r="AF45" s="77">
        <v>3.8858736619930646E-2</v>
      </c>
      <c r="AG45" s="85">
        <v>0.49817656721491627</v>
      </c>
      <c r="AH45" s="86">
        <v>0.50118704487110732</v>
      </c>
      <c r="AI45" s="76">
        <v>6.4073571536258107E-3</v>
      </c>
      <c r="AJ45" s="41">
        <v>4.8500000000000001E-3</v>
      </c>
      <c r="AK45" s="42">
        <v>1.2475501281471431E-2</v>
      </c>
      <c r="AL45" s="78">
        <v>8.0000000000000002E-3</v>
      </c>
      <c r="AM45" s="9"/>
    </row>
    <row r="46" spans="1:39" x14ac:dyDescent="0.2">
      <c r="A46" s="9"/>
      <c r="B46" s="196">
        <v>1972</v>
      </c>
      <c r="C46" s="207" t="s">
        <v>382</v>
      </c>
      <c r="D46" s="180">
        <f>(S46-V46)/(Q46-V46-Y46+AC46)</f>
        <v>0.34393063583815031</v>
      </c>
      <c r="E46" s="180">
        <f>Z46/P46</f>
        <v>0.50082101806239743</v>
      </c>
      <c r="F46" s="180">
        <f>(T46+U46+V46)/S46</f>
        <v>0.44871794871794873</v>
      </c>
      <c r="G46" s="180">
        <f>(Z46+W46)/P46</f>
        <v>0.68637110016420366</v>
      </c>
      <c r="H46" s="180">
        <f>(Z46/Q46)+((S46+X46+AA46)/(Q46+X46+AA46+AC46))</f>
        <v>1.0231280463664272</v>
      </c>
      <c r="I46" s="180">
        <f>V46/Z46</f>
        <v>0.12131147540983607</v>
      </c>
      <c r="J46" s="180">
        <f>(AB46+AC46)/Z46</f>
        <v>9.8360655737704927E-3</v>
      </c>
      <c r="K46" s="180">
        <f>Y46/P46</f>
        <v>0.20689655172413793</v>
      </c>
      <c r="L46" s="180">
        <f>(X46+AA46)/P46</f>
        <v>0.16420361247947454</v>
      </c>
      <c r="M46" s="186">
        <f>(D46*0.7635+E46*0.7562+F46*0.75+G46*0.7248+H46*0.7021+I46*0.6285+1-J46*0.5884+1-K46*0.5276+L46*0.3663)/6.931</f>
        <v>0.60815412126469626</v>
      </c>
      <c r="N46" s="187">
        <f>M46/0.4846*100</f>
        <v>125.49610426427907</v>
      </c>
      <c r="O46" s="283">
        <f>(N46-100)/100*P46*0.3389</f>
        <v>52.621435087149827</v>
      </c>
      <c r="P46" s="197">
        <v>609</v>
      </c>
      <c r="Q46" s="188">
        <f>P46-X46-AA46-AB46-AC46</f>
        <v>506</v>
      </c>
      <c r="R46" s="188" t="s">
        <v>19</v>
      </c>
      <c r="S46" s="197">
        <v>156</v>
      </c>
      <c r="T46" s="197">
        <v>28</v>
      </c>
      <c r="U46" s="197">
        <v>5</v>
      </c>
      <c r="V46" s="197">
        <v>37</v>
      </c>
      <c r="W46" s="197">
        <v>113</v>
      </c>
      <c r="X46" s="197">
        <v>99</v>
      </c>
      <c r="Y46" s="197">
        <v>126</v>
      </c>
      <c r="Z46" s="188">
        <f>S46+T46+U46*2+V46*3</f>
        <v>305</v>
      </c>
      <c r="AA46" s="197">
        <v>1</v>
      </c>
      <c r="AB46" s="197">
        <v>0</v>
      </c>
      <c r="AC46" s="197">
        <v>3</v>
      </c>
      <c r="AD46" s="9"/>
      <c r="AE46" s="6">
        <v>1977</v>
      </c>
      <c r="AF46" s="77">
        <v>3.9870749688945016E-2</v>
      </c>
      <c r="AG46" s="85">
        <v>0.50978620724073975</v>
      </c>
      <c r="AH46" s="86">
        <v>0.49391685919899109</v>
      </c>
      <c r="AI46" s="76">
        <v>7.2424743263570356E-3</v>
      </c>
      <c r="AJ46" s="41">
        <v>4.8999999999999998E-3</v>
      </c>
      <c r="AK46" s="42">
        <v>1.0919422830507531E-2</v>
      </c>
      <c r="AL46" s="78">
        <v>7.62E-3</v>
      </c>
      <c r="AM46" s="9"/>
    </row>
    <row r="47" spans="1:39" x14ac:dyDescent="0.2">
      <c r="A47" s="9"/>
      <c r="B47" s="196">
        <v>1960</v>
      </c>
      <c r="C47" s="207" t="s">
        <v>392</v>
      </c>
      <c r="D47" s="180">
        <f>(S47-V47)/(Q47-V47-Y47+AC47)</f>
        <v>0.34264432029795161</v>
      </c>
      <c r="E47" s="180">
        <f>Z47/P47</f>
        <v>0.35930047694753575</v>
      </c>
      <c r="F47" s="180">
        <f>(T47+U47+V47)/S47</f>
        <v>0.17204301075268819</v>
      </c>
      <c r="G47" s="180">
        <f>(Z47+W47)/P47</f>
        <v>0.43879173290937995</v>
      </c>
      <c r="H47" s="180">
        <f>(Z47/Q47)+((S47+X47+AA47)/(Q47+X47+AA47+AC47))</f>
        <v>0.76556608710163743</v>
      </c>
      <c r="I47" s="180">
        <f>V47/Z47</f>
        <v>8.8495575221238937E-3</v>
      </c>
      <c r="J47" s="180">
        <f>(AB47+AC47)/Z47</f>
        <v>5.7522123893805309E-2</v>
      </c>
      <c r="K47" s="180">
        <f>Y47/P47</f>
        <v>5.5643879173290937E-2</v>
      </c>
      <c r="L47" s="180">
        <f>(X47+AA47)/P47</f>
        <v>6.8362480127186015E-2</v>
      </c>
      <c r="M47" s="186">
        <f>(D47*0.7635+E47*0.7562+F47*0.75+G47*0.7248+H47*0.7021+I47*0.6285+1-J47*0.5884+1-K47*0.5276+L47*0.3663)/6.931</f>
        <v>0.50285439475815996</v>
      </c>
      <c r="N47" s="187">
        <f>M47/0.5026*100</f>
        <v>100.05061574973337</v>
      </c>
      <c r="O47" s="283">
        <f>(N47-100)/100*P47*0.3389</f>
        <v>0.1078966320073745</v>
      </c>
      <c r="P47" s="197">
        <v>629</v>
      </c>
      <c r="Q47" s="188">
        <f>P47-X47-AA47-AB47-AC47</f>
        <v>573</v>
      </c>
      <c r="R47" s="188" t="s">
        <v>19</v>
      </c>
      <c r="S47" s="197">
        <v>186</v>
      </c>
      <c r="T47" s="197">
        <v>26</v>
      </c>
      <c r="U47" s="197">
        <v>4</v>
      </c>
      <c r="V47" s="197">
        <v>2</v>
      </c>
      <c r="W47" s="197">
        <v>50</v>
      </c>
      <c r="X47" s="197">
        <v>39</v>
      </c>
      <c r="Y47" s="197">
        <v>35</v>
      </c>
      <c r="Z47" s="188">
        <f>S47+T47+U47*2+V47*3</f>
        <v>226</v>
      </c>
      <c r="AA47" s="197">
        <v>4</v>
      </c>
      <c r="AB47" s="197">
        <v>12</v>
      </c>
      <c r="AC47" s="197">
        <v>1</v>
      </c>
      <c r="AD47" s="9"/>
      <c r="AE47" s="6">
        <v>1976</v>
      </c>
      <c r="AF47" s="77">
        <v>3.5500633455959565E-2</v>
      </c>
      <c r="AG47" s="85">
        <v>0.4885272124505618</v>
      </c>
      <c r="AH47" s="86">
        <v>0.50722966123104052</v>
      </c>
      <c r="AI47" s="76">
        <v>6.5445824271864392E-3</v>
      </c>
      <c r="AJ47" s="41">
        <v>4.6299999999999996E-3</v>
      </c>
      <c r="AK47" s="42">
        <v>1.2147449577583111E-2</v>
      </c>
      <c r="AL47" s="78">
        <v>8.0099999999999998E-3</v>
      </c>
      <c r="AM47" s="9"/>
    </row>
    <row r="48" spans="1:39" x14ac:dyDescent="0.2">
      <c r="A48" s="9"/>
      <c r="B48" s="210">
        <v>1934</v>
      </c>
      <c r="C48" s="211" t="s">
        <v>225</v>
      </c>
      <c r="D48" s="181">
        <f>(S48-V48)/(Q48-V48-Y48+AC48)</f>
        <v>0.27873855544252291</v>
      </c>
      <c r="E48" s="181">
        <f>Z48/P48</f>
        <v>0.31680867544539115</v>
      </c>
      <c r="F48" s="181">
        <f>(T48+U48+V48)/S48</f>
        <v>0.27777777777777779</v>
      </c>
      <c r="G48" s="181">
        <f>(Z48+R48)/P48</f>
        <v>0.40201394268009294</v>
      </c>
      <c r="H48" s="181">
        <f>(Z48/Q48)+((S48+X48+AA48)/(Q48+X48+AA48+AC48))</f>
        <v>0.6358901458510281</v>
      </c>
      <c r="I48" s="181">
        <f>V48/Z48</f>
        <v>3.4229828850855744E-2</v>
      </c>
      <c r="J48" s="181">
        <f>(AB48+AC48)/Z48</f>
        <v>6.8459657701711488E-2</v>
      </c>
      <c r="K48" s="181">
        <f>Y48/P48</f>
        <v>0.15104570100697134</v>
      </c>
      <c r="L48" s="181">
        <f>(X48+AA48)/P48</f>
        <v>6.2742060418280399E-2</v>
      </c>
      <c r="M48" s="190">
        <f>(1-D48*0.7635+1-E48*0.7562+1-F48*0.75+1-G48*0.7248+1-H48*0.7021+1-I48*0.6285+J48*0.5884+K48*0.5276+1-L48*0.3663)/11.068</f>
        <v>0.51291275681577009</v>
      </c>
      <c r="N48" s="191">
        <f>M48/0.4934*100</f>
        <v>103.95475411750508</v>
      </c>
      <c r="O48" s="192">
        <f>(N48-100)/100*P48*0.6611</f>
        <v>33.753039396836428</v>
      </c>
      <c r="P48" s="197">
        <v>1291</v>
      </c>
      <c r="Q48" s="189">
        <f>P48-X48-AA48-AB48-AC48</f>
        <v>1182</v>
      </c>
      <c r="R48" s="197">
        <v>110</v>
      </c>
      <c r="S48" s="197">
        <v>288</v>
      </c>
      <c r="T48" s="197">
        <v>53</v>
      </c>
      <c r="U48" s="197">
        <v>13</v>
      </c>
      <c r="V48" s="197">
        <v>14</v>
      </c>
      <c r="W48" s="188" t="s">
        <v>19</v>
      </c>
      <c r="X48" s="197">
        <v>75</v>
      </c>
      <c r="Y48" s="197">
        <v>195</v>
      </c>
      <c r="Z48" s="188">
        <f>S48+T48+U48*2+V48*3</f>
        <v>409</v>
      </c>
      <c r="AA48" s="197">
        <v>6</v>
      </c>
      <c r="AB48" s="197">
        <v>18</v>
      </c>
      <c r="AC48" s="199">
        <v>10</v>
      </c>
      <c r="AD48" s="9"/>
      <c r="AE48" s="6">
        <v>1975</v>
      </c>
      <c r="AF48" s="77">
        <v>3.6622864563358296E-2</v>
      </c>
      <c r="AG48" s="85">
        <v>0.49588521480555503</v>
      </c>
      <c r="AH48" s="86">
        <v>0.50262193496410357</v>
      </c>
      <c r="AI48" s="76">
        <v>5.9681206811866266E-3</v>
      </c>
      <c r="AJ48" s="41">
        <v>5.1200000000000004E-3</v>
      </c>
      <c r="AK48" s="42">
        <v>1.260235629747751E-2</v>
      </c>
      <c r="AL48" s="78">
        <v>7.3099999999999997E-3</v>
      </c>
      <c r="AM48" s="9"/>
    </row>
    <row r="49" spans="1:39" x14ac:dyDescent="0.2">
      <c r="A49" s="9"/>
      <c r="B49" s="196">
        <v>1941</v>
      </c>
      <c r="C49" s="207" t="s">
        <v>404</v>
      </c>
      <c r="D49" s="180">
        <f>(S49-V49)/(Q49-V49-Y49+AC49)</f>
        <v>0.30789473684210528</v>
      </c>
      <c r="E49" s="180">
        <f>Z49/P49</f>
        <v>0.45865834633385333</v>
      </c>
      <c r="F49" s="180">
        <f>(T49+U49+V49)/S49</f>
        <v>0.45695364238410596</v>
      </c>
      <c r="G49" s="180">
        <f>(Z49+W49)/P49</f>
        <v>0.64586583463338532</v>
      </c>
      <c r="H49" s="180">
        <f>(Z49/Q49)+((S49+X49+AA49)/(Q49+X49+AA49+AC49))</f>
        <v>0.96766210888348292</v>
      </c>
      <c r="I49" s="180">
        <f>V49/Z49</f>
        <v>0.11564625850340136</v>
      </c>
      <c r="J49" s="180">
        <f>(AB49+AC49)/Z49</f>
        <v>3.0612244897959183E-2</v>
      </c>
      <c r="K49" s="180">
        <f>Y49/P49</f>
        <v>0.1794071762870515</v>
      </c>
      <c r="L49" s="180">
        <f>(X49+AA49)/P49</f>
        <v>0.16848673946957879</v>
      </c>
      <c r="M49" s="186">
        <f>(D49*0.7635+E49*0.7562+F49*0.75+G49*0.7248+H49*0.7021+I49*0.6285+1-J49*0.5884+1-K49*0.5276+L49*0.3663)/6.931</f>
        <v>0.59066257733143035</v>
      </c>
      <c r="N49" s="187">
        <f>M49/0.4969*100</f>
        <v>118.8695064060033</v>
      </c>
      <c r="O49" s="283">
        <f>(N49-100)/100*P49*0.3389</f>
        <v>40.991153371574853</v>
      </c>
      <c r="P49" s="197">
        <v>641</v>
      </c>
      <c r="Q49" s="189">
        <f>P49-X49-AA49-AB49-AC49</f>
        <v>524</v>
      </c>
      <c r="R49" s="188" t="s">
        <v>19</v>
      </c>
      <c r="S49" s="197">
        <v>151</v>
      </c>
      <c r="T49" s="197">
        <v>29</v>
      </c>
      <c r="U49" s="197">
        <v>6</v>
      </c>
      <c r="V49" s="197">
        <v>34</v>
      </c>
      <c r="W49" s="197">
        <v>120</v>
      </c>
      <c r="X49" s="197">
        <v>104</v>
      </c>
      <c r="Y49" s="197">
        <v>115</v>
      </c>
      <c r="Z49" s="188">
        <f>S49+T49+U49*2+V49*3</f>
        <v>294</v>
      </c>
      <c r="AA49" s="197">
        <v>4</v>
      </c>
      <c r="AB49" s="197">
        <v>4</v>
      </c>
      <c r="AC49" s="199">
        <v>5</v>
      </c>
      <c r="AD49" s="9"/>
      <c r="AE49" s="6">
        <v>1974</v>
      </c>
      <c r="AF49" s="77">
        <v>3.4973397108615037E-2</v>
      </c>
      <c r="AG49" s="85">
        <v>0.49294811561303925</v>
      </c>
      <c r="AH49" s="86">
        <v>0.50446120443494968</v>
      </c>
      <c r="AI49" s="76">
        <v>5.690062879561455E-3</v>
      </c>
      <c r="AJ49" s="41">
        <v>5.1999999999999998E-3</v>
      </c>
      <c r="AK49" s="42">
        <v>1.1648841833718494E-2</v>
      </c>
      <c r="AL49" s="78">
        <v>7.4200000000000004E-3</v>
      </c>
      <c r="AM49" s="9"/>
    </row>
    <row r="50" spans="1:39" x14ac:dyDescent="0.2">
      <c r="A50" s="9"/>
      <c r="B50" s="196">
        <v>1979</v>
      </c>
      <c r="C50" s="207" t="s">
        <v>373</v>
      </c>
      <c r="D50" s="180">
        <f>(S50-V50)/(Q50-V50-Y50+AC50)</f>
        <v>0.27124773960216997</v>
      </c>
      <c r="E50" s="180">
        <f>Z50/P50</f>
        <v>0.46121883656509693</v>
      </c>
      <c r="F50" s="180">
        <f>(T50+U50+V50)/S50</f>
        <v>0.38709677419354838</v>
      </c>
      <c r="G50" s="180">
        <f>(Z50+W50)/P50</f>
        <v>0.65373961218836563</v>
      </c>
      <c r="H50" s="180">
        <f>(Z50/Q50)+((S50+X50+AA50)/(Q50+X50+AA50+AC50))</f>
        <v>0.90144591280413577</v>
      </c>
      <c r="I50" s="180">
        <f>V50/Z50</f>
        <v>0.10810810810810811</v>
      </c>
      <c r="J50" s="180">
        <f>(AB50+AC50)/Z50</f>
        <v>3.6036036036036036E-2</v>
      </c>
      <c r="K50" s="180">
        <f>Y50/P50</f>
        <v>7.0637119113573413E-2</v>
      </c>
      <c r="L50" s="180">
        <f>(X50+AA50)/P50</f>
        <v>0.11357340720221606</v>
      </c>
      <c r="M50" s="186">
        <f>(D50*0.7635+E50*0.7562+F50*0.75+G50*0.7248+H50*0.7021+I50*0.6285+1-J50*0.5884+1-K50*0.5276+L50*0.3663)/6.931</f>
        <v>0.57769523844929282</v>
      </c>
      <c r="N50" s="187">
        <f>M50/0.5078*100</f>
        <v>113.76432423184181</v>
      </c>
      <c r="O50" s="283">
        <f>(N50-100)/100*P50*0.3389</f>
        <v>33.679346861275995</v>
      </c>
      <c r="P50" s="197">
        <v>722</v>
      </c>
      <c r="Q50" s="188">
        <f>P50-X50-AA50-AB50-AC50</f>
        <v>628</v>
      </c>
      <c r="R50" s="188" t="s">
        <v>19</v>
      </c>
      <c r="S50" s="197">
        <v>186</v>
      </c>
      <c r="T50" s="197">
        <v>33</v>
      </c>
      <c r="U50" s="197">
        <v>3</v>
      </c>
      <c r="V50" s="197">
        <v>36</v>
      </c>
      <c r="W50" s="197">
        <v>139</v>
      </c>
      <c r="X50" s="197">
        <v>71</v>
      </c>
      <c r="Y50" s="197">
        <v>51</v>
      </c>
      <c r="Z50" s="188">
        <f>S50+T50+U50*2+V50*3</f>
        <v>333</v>
      </c>
      <c r="AA50" s="197">
        <v>11</v>
      </c>
      <c r="AB50" s="197">
        <v>0</v>
      </c>
      <c r="AC50" s="197">
        <v>12</v>
      </c>
      <c r="AD50" s="9"/>
      <c r="AE50" s="6">
        <v>1973</v>
      </c>
      <c r="AF50" s="77">
        <v>3.510870660976511E-2</v>
      </c>
      <c r="AG50" s="85">
        <v>0.49830997402873745</v>
      </c>
      <c r="AH50" s="86">
        <v>0.50110350289183414</v>
      </c>
      <c r="AI50" s="76">
        <v>5.3093181894552912E-3</v>
      </c>
      <c r="AJ50" s="41">
        <v>5.0699999999999999E-3</v>
      </c>
      <c r="AK50" s="42">
        <v>1.0417016700830001E-2</v>
      </c>
      <c r="AL50" s="78">
        <v>6.7799999999999996E-3</v>
      </c>
      <c r="AM50" s="9"/>
    </row>
    <row r="51" spans="1:39" x14ac:dyDescent="0.2">
      <c r="A51" s="9"/>
      <c r="B51" s="196">
        <v>1985</v>
      </c>
      <c r="C51" s="207" t="s">
        <v>369</v>
      </c>
      <c r="D51" s="180">
        <f>(S51-V51)/(Q51-V51-Y51+AC51)</f>
        <v>0.29780033840947545</v>
      </c>
      <c r="E51" s="180">
        <f>Z51/P51</f>
        <v>0.50894085281980739</v>
      </c>
      <c r="F51" s="180">
        <f>(T51+U51+V51)/S51</f>
        <v>0.40758293838862558</v>
      </c>
      <c r="G51" s="180">
        <f>(Z51+W51)/P51</f>
        <v>0.70839064649243466</v>
      </c>
      <c r="H51" s="180">
        <f>(Z51/Q51)+((S51+X51+AA51)/(Q51+X51+AA51+AC51))</f>
        <v>0.93851914533530789</v>
      </c>
      <c r="I51" s="180">
        <f>V51/Z51</f>
        <v>9.45945945945946E-2</v>
      </c>
      <c r="J51" s="180">
        <f>(AB51+AC51)/Z51</f>
        <v>4.5945945945945948E-2</v>
      </c>
      <c r="K51" s="180">
        <f>Y51/P51</f>
        <v>5.6396148555708389E-2</v>
      </c>
      <c r="L51" s="180">
        <f>(X51+AA51)/P51</f>
        <v>7.9779917469050887E-2</v>
      </c>
      <c r="M51" s="186">
        <f>(D51*0.7635+E51*0.7562+F51*0.75+G51*0.7248+H51*0.7021+I51*0.6285+1-J51*0.5884+1-K51*0.5276+L51*0.3663)/6.931</f>
        <v>0.59474557083914414</v>
      </c>
      <c r="N51" s="187">
        <f>M51/0.5058*100</f>
        <v>117.58512669813051</v>
      </c>
      <c r="O51" s="283">
        <f>(N51-100)/100*P51*0.3389</f>
        <v>43.326287914234037</v>
      </c>
      <c r="P51" s="197">
        <v>727</v>
      </c>
      <c r="Q51" s="188">
        <f>P51-X51-AA51-AB51-AC51</f>
        <v>652</v>
      </c>
      <c r="R51" s="188" t="s">
        <v>19</v>
      </c>
      <c r="S51" s="197">
        <v>211</v>
      </c>
      <c r="T51" s="197">
        <v>48</v>
      </c>
      <c r="U51" s="197">
        <v>3</v>
      </c>
      <c r="V51" s="197">
        <v>35</v>
      </c>
      <c r="W51" s="197">
        <v>145</v>
      </c>
      <c r="X51" s="197">
        <v>56</v>
      </c>
      <c r="Y51" s="197">
        <v>41</v>
      </c>
      <c r="Z51" s="188">
        <f>S51+T51+U51*2+V51*3</f>
        <v>370</v>
      </c>
      <c r="AA51" s="197">
        <v>2</v>
      </c>
      <c r="AB51" s="197">
        <v>2</v>
      </c>
      <c r="AC51" s="197">
        <v>15</v>
      </c>
      <c r="AD51" s="9"/>
      <c r="AE51" s="6">
        <v>1972</v>
      </c>
      <c r="AF51" s="77">
        <v>3.3234506161814607E-2</v>
      </c>
      <c r="AG51" s="85">
        <v>0.48460466076172293</v>
      </c>
      <c r="AH51" s="86">
        <v>0.50968604050058719</v>
      </c>
      <c r="AI51" s="76">
        <v>5.3295231291302014E-3</v>
      </c>
      <c r="AJ51" s="41">
        <v>5.3699999999999998E-3</v>
      </c>
      <c r="AK51" s="42">
        <v>1.2559385604572246E-2</v>
      </c>
      <c r="AL51" s="78">
        <v>6.3099999999999996E-3</v>
      </c>
      <c r="AM51" s="9"/>
    </row>
    <row r="52" spans="1:39" x14ac:dyDescent="0.2">
      <c r="A52" s="9"/>
      <c r="B52" s="210">
        <v>1956</v>
      </c>
      <c r="C52" s="211" t="s">
        <v>394</v>
      </c>
      <c r="D52" s="181">
        <f>(S52-V52)/(Q52-V52-Y52+AC52)</f>
        <v>0.22600243013365734</v>
      </c>
      <c r="E52" s="181">
        <f>Z52/P52</f>
        <v>0.35266159695817489</v>
      </c>
      <c r="F52" s="181">
        <f>(T52+U52+V52)/S52</f>
        <v>0.37442922374429222</v>
      </c>
      <c r="G52" s="181">
        <f>(Z52+R52)/P52</f>
        <v>0.44866920152091255</v>
      </c>
      <c r="H52" s="181">
        <f>(Z52/Q52)+((S52+X52+AA52)/(Q52+X52+AA52+AC52))</f>
        <v>0.63069691632678282</v>
      </c>
      <c r="I52" s="181">
        <f>V52/Z52</f>
        <v>8.8948787061994605E-2</v>
      </c>
      <c r="J52" s="181">
        <f>(AB52+AC52)/Z52</f>
        <v>2.9649595687331536E-2</v>
      </c>
      <c r="K52" s="181">
        <f>Y52/P52</f>
        <v>0.13212927756653992</v>
      </c>
      <c r="L52" s="181">
        <f>(X52+AA52)/P52</f>
        <v>4.6577946768060839E-2</v>
      </c>
      <c r="M52" s="190">
        <f>(1-D52*0.7635+1-E52*0.7562+1-F52*0.75+1-G52*0.7248+1-H52*0.7021+1-I52*0.6285+J52*0.5884+K52*0.5276+1-L52*0.3663)/11.068</f>
        <v>0.49928859769845485</v>
      </c>
      <c r="N52" s="191">
        <f>M52/0.4951*100</f>
        <v>100.84601044202279</v>
      </c>
      <c r="O52" s="192">
        <f>(N52-100)/100*P52*0.6611</f>
        <v>5.8838097338877082</v>
      </c>
      <c r="P52" s="197">
        <v>1052</v>
      </c>
      <c r="Q52" s="188">
        <f>P52-X52-AA52-AB52-AC52</f>
        <v>992</v>
      </c>
      <c r="R52" s="197">
        <v>101</v>
      </c>
      <c r="S52" s="197">
        <v>219</v>
      </c>
      <c r="T52" s="197">
        <v>45</v>
      </c>
      <c r="U52" s="197">
        <v>4</v>
      </c>
      <c r="V52" s="197">
        <v>33</v>
      </c>
      <c r="W52" s="188" t="s">
        <v>19</v>
      </c>
      <c r="X52" s="197">
        <v>46</v>
      </c>
      <c r="Y52" s="197">
        <v>139</v>
      </c>
      <c r="Z52" s="188">
        <f>S52+T52+U52*2+V52*3</f>
        <v>371</v>
      </c>
      <c r="AA52" s="197">
        <v>3</v>
      </c>
      <c r="AB52" s="197">
        <v>8</v>
      </c>
      <c r="AC52" s="197">
        <v>3</v>
      </c>
      <c r="AD52" s="9"/>
      <c r="AE52" s="6">
        <v>1971</v>
      </c>
      <c r="AF52" s="77">
        <v>3.3609378727464813E-2</v>
      </c>
      <c r="AG52" s="85">
        <v>0.49050773526907787</v>
      </c>
      <c r="AH52" s="86">
        <v>0.50598941876129588</v>
      </c>
      <c r="AI52" s="76">
        <v>5.507276011314453E-3</v>
      </c>
      <c r="AJ52" s="41">
        <v>5.5999999999999999E-3</v>
      </c>
      <c r="AK52" s="42">
        <v>1.2282316054936441E-2</v>
      </c>
      <c r="AL52" s="78">
        <v>6.7299999999999999E-3</v>
      </c>
      <c r="AM52" s="9"/>
    </row>
    <row r="53" spans="1:39" x14ac:dyDescent="0.2">
      <c r="A53" s="9"/>
      <c r="B53" s="196">
        <v>2008</v>
      </c>
      <c r="C53" s="207" t="s">
        <v>349</v>
      </c>
      <c r="D53" s="180">
        <f>(S53-V53)/(Q53-V53-Y53+AC53)</f>
        <v>0.3305227655986509</v>
      </c>
      <c r="E53" s="180">
        <f>Z53/P53</f>
        <v>0.44352617079889806</v>
      </c>
      <c r="F53" s="180">
        <f>(T53+U53+V53)/S53</f>
        <v>0.34272300469483569</v>
      </c>
      <c r="G53" s="180">
        <f>(Z53+W53)/P53</f>
        <v>0.55785123966942152</v>
      </c>
      <c r="H53" s="180">
        <f>(Z53/Q53)+((S53+X53+AA53)/(Q53+X53+AA53+AC53))</f>
        <v>0.86863028666239273</v>
      </c>
      <c r="I53" s="180">
        <f>V53/Z53</f>
        <v>5.2795031055900624E-2</v>
      </c>
      <c r="J53" s="180">
        <f>(AB53+AC53)/Z53</f>
        <v>4.9689440993788817E-2</v>
      </c>
      <c r="K53" s="180">
        <f>Y53/P53</f>
        <v>7.1625344352617082E-2</v>
      </c>
      <c r="L53" s="180">
        <f>(X53+AA53)/P53</f>
        <v>7.8512396694214878E-2</v>
      </c>
      <c r="M53" s="186">
        <f>(D53*0.7635+E53*0.7562+F53*0.75+G53*0.7248+H53*0.7021+I53*0.6285+1-J53*0.5884+1-K53*0.5276+L53*0.3663)/6.931</f>
        <v>0.55603819757010886</v>
      </c>
      <c r="N53" s="187">
        <f>M53/0.5195*100</f>
        <v>107.03333928202288</v>
      </c>
      <c r="O53" s="283">
        <f>(N53-100)/100*P53*0.3389</f>
        <v>17.30492643623904</v>
      </c>
      <c r="P53" s="197">
        <v>726</v>
      </c>
      <c r="Q53" s="188">
        <f>P53-X53-AA53-AB53-AC53</f>
        <v>653</v>
      </c>
      <c r="R53" s="188" t="s">
        <v>19</v>
      </c>
      <c r="S53" s="197">
        <v>213</v>
      </c>
      <c r="T53" s="197">
        <v>54</v>
      </c>
      <c r="U53" s="197">
        <v>2</v>
      </c>
      <c r="V53" s="197">
        <v>17</v>
      </c>
      <c r="W53" s="197">
        <v>83</v>
      </c>
      <c r="X53" s="197">
        <v>50</v>
      </c>
      <c r="Y53" s="197">
        <v>52</v>
      </c>
      <c r="Z53" s="188">
        <f>S53+T53+U53*2+V53*3</f>
        <v>322</v>
      </c>
      <c r="AA53" s="197">
        <v>7</v>
      </c>
      <c r="AB53" s="197">
        <v>7</v>
      </c>
      <c r="AC53" s="197">
        <v>9</v>
      </c>
      <c r="AD53" s="9"/>
      <c r="AE53" s="6">
        <v>1970</v>
      </c>
      <c r="AF53" s="77">
        <v>3.5053534481026896E-2</v>
      </c>
      <c r="AG53" s="85">
        <v>0.50184155824333831</v>
      </c>
      <c r="AH53" s="86">
        <v>0.49889195516944551</v>
      </c>
      <c r="AI53" s="76">
        <v>6.2071874811675141E-3</v>
      </c>
      <c r="AJ53" s="41">
        <v>5.5199999999999997E-3</v>
      </c>
      <c r="AK53" s="42">
        <v>1.0914472054264344E-2</v>
      </c>
      <c r="AL53" s="78">
        <v>6.6299999999999996E-3</v>
      </c>
      <c r="AM53" s="9"/>
    </row>
    <row r="54" spans="1:39" x14ac:dyDescent="0.2">
      <c r="A54" s="9"/>
      <c r="B54" s="196">
        <v>1914</v>
      </c>
      <c r="C54" s="207" t="s">
        <v>262</v>
      </c>
      <c r="D54" s="180">
        <f>(S54-V54)/(Q54-V54-Y54+AC54)</f>
        <v>0.36161616161616161</v>
      </c>
      <c r="E54" s="180">
        <f>Z54/P54</f>
        <v>0.36115326251896812</v>
      </c>
      <c r="F54" s="180">
        <f>(T54+U54+V54)/S54</f>
        <v>0.21546961325966851</v>
      </c>
      <c r="G54" s="180">
        <f>(Z54+W54)/P54</f>
        <v>0.49013657056145676</v>
      </c>
      <c r="H54" s="180">
        <f>(Z54/Q54)+((S54+X54+AA54)/(Q54+X54+AA54+AC54))</f>
        <v>0.90514616090881272</v>
      </c>
      <c r="I54" s="180">
        <f>V54/Z54</f>
        <v>8.4033613445378148E-3</v>
      </c>
      <c r="J54" s="180">
        <f>(AB54+AC54)/Z54</f>
        <v>0.13865546218487396</v>
      </c>
      <c r="K54" s="180">
        <f>Y54/P54</f>
        <v>4.7040971168437029E-2</v>
      </c>
      <c r="L54" s="180">
        <f>(X54+AA54)/P54</f>
        <v>0.15629742033383914</v>
      </c>
      <c r="M54" s="186">
        <f>(D54*0.7635+E54*0.7562+F54*0.75+G54*0.7248+H54*0.7021+I54*0.6285+1-J54*0.5884+1-K54*0.5276+L54*0.3663)/6.931</f>
        <v>0.52772816616762896</v>
      </c>
      <c r="N54" s="187">
        <f>M54/0.4705*100</f>
        <v>112.16326592298171</v>
      </c>
      <c r="O54" s="283">
        <f>(N54-100)/100*P54*0.3389</f>
        <v>27.164842112357121</v>
      </c>
      <c r="P54" s="197">
        <v>659</v>
      </c>
      <c r="Q54" s="189">
        <f>P54-X54-AA54-AB54-AC54</f>
        <v>523</v>
      </c>
      <c r="R54" s="188" t="s">
        <v>19</v>
      </c>
      <c r="S54" s="197">
        <v>181</v>
      </c>
      <c r="T54" s="197">
        <v>23</v>
      </c>
      <c r="U54" s="197">
        <v>14</v>
      </c>
      <c r="V54" s="197">
        <v>2</v>
      </c>
      <c r="W54" s="197">
        <v>85</v>
      </c>
      <c r="X54" s="197">
        <v>97</v>
      </c>
      <c r="Y54" s="197">
        <v>31</v>
      </c>
      <c r="Z54" s="188">
        <f>S54+T54+U54*2+V54*3</f>
        <v>238</v>
      </c>
      <c r="AA54" s="197">
        <v>6</v>
      </c>
      <c r="AB54" s="197">
        <v>28</v>
      </c>
      <c r="AC54" s="199">
        <v>5</v>
      </c>
      <c r="AD54" s="9"/>
      <c r="AE54" s="6">
        <v>1969</v>
      </c>
      <c r="AF54" s="77">
        <v>3.2655704965151508E-2</v>
      </c>
      <c r="AG54" s="85">
        <v>0.49318341114600062</v>
      </c>
      <c r="AH54" s="86">
        <v>0.50431385772922577</v>
      </c>
      <c r="AI54" s="76">
        <v>5.7282424618623198E-3</v>
      </c>
      <c r="AJ54" s="41">
        <v>5.9500000000000004E-3</v>
      </c>
      <c r="AK54" s="42">
        <v>1.1260820575792946E-2</v>
      </c>
      <c r="AL54" s="78">
        <v>6.1700000000000001E-3</v>
      </c>
      <c r="AM54" s="9"/>
    </row>
    <row r="55" spans="1:39" x14ac:dyDescent="0.2">
      <c r="A55" s="9"/>
      <c r="B55" s="196">
        <v>1963</v>
      </c>
      <c r="C55" s="207" t="s">
        <v>389</v>
      </c>
      <c r="D55" s="180">
        <f>(S55-V55)/(Q55-V55-Y55+AC55)</f>
        <v>0.28498727735368956</v>
      </c>
      <c r="E55" s="180">
        <f>Z55/P55</f>
        <v>0.4839924670433145</v>
      </c>
      <c r="F55" s="180">
        <f>(T55+U55+V55)/S55</f>
        <v>0.39285714285714285</v>
      </c>
      <c r="G55" s="180">
        <f>(Z55+W55)/P55</f>
        <v>0.64406779661016944</v>
      </c>
      <c r="H55" s="180">
        <f>(Z55/Q55)+((S55+X55+AA55)/(Q55+X55+AA55+AC55))</f>
        <v>0.86923017318197671</v>
      </c>
      <c r="I55" s="180">
        <f>V55/Z55</f>
        <v>0.10894941634241245</v>
      </c>
      <c r="J55" s="180">
        <f>(AB55+AC55)/Z55</f>
        <v>1.1673151750972763E-2</v>
      </c>
      <c r="K55" s="180">
        <f>Y55/P55</f>
        <v>0.128060263653484</v>
      </c>
      <c r="L55" s="180">
        <f>(X55+AA55)/P55</f>
        <v>7.7212806026365349E-2</v>
      </c>
      <c r="M55" s="186">
        <f>(D55*0.7635+E55*0.7562+F55*0.75+G55*0.7248+H55*0.7021+I55*0.6285+1-J55*0.5884+1-K55*0.5276+L55*0.3663)/6.931</f>
        <v>0.57389370537865858</v>
      </c>
      <c r="N55" s="187">
        <f>M55/0.4936*100</f>
        <v>116.26695813992274</v>
      </c>
      <c r="O55" s="283">
        <f>(N55-100)/100*P55*0.3389</f>
        <v>29.273350923321214</v>
      </c>
      <c r="P55" s="197">
        <v>531</v>
      </c>
      <c r="Q55" s="188">
        <f>P55-X55-AA55-AB55-AC55</f>
        <v>487</v>
      </c>
      <c r="R55" s="188" t="s">
        <v>19</v>
      </c>
      <c r="S55" s="197">
        <v>140</v>
      </c>
      <c r="T55" s="197">
        <v>21</v>
      </c>
      <c r="U55" s="197">
        <v>6</v>
      </c>
      <c r="V55" s="197">
        <v>28</v>
      </c>
      <c r="W55" s="197">
        <v>85</v>
      </c>
      <c r="X55" s="197">
        <v>35</v>
      </c>
      <c r="Y55" s="197">
        <v>68</v>
      </c>
      <c r="Z55" s="188">
        <f>S55+T55+U55*2+V55*3</f>
        <v>257</v>
      </c>
      <c r="AA55" s="197">
        <v>6</v>
      </c>
      <c r="AB55" s="197">
        <v>1</v>
      </c>
      <c r="AC55" s="197">
        <v>2</v>
      </c>
      <c r="AD55" s="9"/>
      <c r="AE55" s="6">
        <v>1968</v>
      </c>
      <c r="AF55" s="77">
        <v>3.2019398674203239E-2</v>
      </c>
      <c r="AG55" s="85">
        <v>0.47677414581874861</v>
      </c>
      <c r="AH55" s="86">
        <v>0.51458966347400192</v>
      </c>
      <c r="AI55" s="76">
        <v>5.7682917745979986E-3</v>
      </c>
      <c r="AJ55" s="41">
        <v>6.4400000000000004E-3</v>
      </c>
      <c r="AK55" s="42">
        <v>1.2471758542782187E-2</v>
      </c>
      <c r="AL55" s="78">
        <v>6.2300000000000003E-3</v>
      </c>
      <c r="AM55" s="9"/>
    </row>
    <row r="56" spans="1:39" x14ac:dyDescent="0.2">
      <c r="A56" s="9"/>
      <c r="B56" s="196">
        <v>1958</v>
      </c>
      <c r="C56" s="207" t="s">
        <v>148</v>
      </c>
      <c r="D56" s="180">
        <f>(S56-V56)/(Q56-V56-Y56+AC56)</f>
        <v>0.29735234215885947</v>
      </c>
      <c r="E56" s="180">
        <f>Z56/P56</f>
        <v>0.55571847507331373</v>
      </c>
      <c r="F56" s="180">
        <f>(T56+U56+V56)/S56</f>
        <v>0.41968911917098445</v>
      </c>
      <c r="G56" s="180">
        <f>(Z56+W56)/P56</f>
        <v>0.74486803519061584</v>
      </c>
      <c r="H56" s="180">
        <f>(Z56/Q56)+((S56+X56+AA56)/(Q56+X56+AA56+AC56))</f>
        <v>0.97990132729778168</v>
      </c>
      <c r="I56" s="180">
        <f>V56/Z56</f>
        <v>0.12401055408970976</v>
      </c>
      <c r="J56" s="180">
        <f>(AB56+AC56)/Z56</f>
        <v>2.3746701846965697E-2</v>
      </c>
      <c r="K56" s="180">
        <f>Y56/P56</f>
        <v>0.12756598240469208</v>
      </c>
      <c r="L56" s="180">
        <f>(X56+AA56)/P56</f>
        <v>8.2111436950146624E-2</v>
      </c>
      <c r="M56" s="186">
        <f>(D56*0.7635+E56*0.7562+F56*0.75+G56*0.7248+H56*0.7021+I56*0.6285+1-J56*0.5884+1-K56*0.5276+L56*0.3663)/6.931</f>
        <v>0.60837403234535414</v>
      </c>
      <c r="N56" s="187">
        <f>M56/0.5062*100</f>
        <v>120.18451844040976</v>
      </c>
      <c r="O56" s="283">
        <f>(N56-100)/100*P56*0.3389</f>
        <v>46.6524371022822</v>
      </c>
      <c r="P56" s="197">
        <v>682</v>
      </c>
      <c r="Q56" s="188">
        <f>P56-X56-AA56-AB56-AC56</f>
        <v>617</v>
      </c>
      <c r="R56" s="188" t="s">
        <v>19</v>
      </c>
      <c r="S56" s="197">
        <v>193</v>
      </c>
      <c r="T56" s="197">
        <v>23</v>
      </c>
      <c r="U56" s="197">
        <v>11</v>
      </c>
      <c r="V56" s="197">
        <v>47</v>
      </c>
      <c r="W56" s="197">
        <v>129</v>
      </c>
      <c r="X56" s="197">
        <v>52</v>
      </c>
      <c r="Y56" s="197">
        <v>87</v>
      </c>
      <c r="Z56" s="188">
        <f>S56+T56+U56*2+V56*3</f>
        <v>379</v>
      </c>
      <c r="AA56" s="197">
        <v>4</v>
      </c>
      <c r="AB56" s="197">
        <v>1</v>
      </c>
      <c r="AC56" s="197">
        <v>8</v>
      </c>
      <c r="AD56" s="9"/>
      <c r="AE56" s="6">
        <v>1967</v>
      </c>
      <c r="AF56" s="77">
        <v>3.3498005875691378E-2</v>
      </c>
      <c r="AG56" s="85">
        <v>0.48630740237399267</v>
      </c>
      <c r="AH56" s="86">
        <v>0.50861975010352867</v>
      </c>
      <c r="AI56" s="76">
        <v>6.4993681169886264E-3</v>
      </c>
      <c r="AJ56" s="41">
        <v>6.1599999999999997E-3</v>
      </c>
      <c r="AK56" s="42">
        <v>1.2145283854978746E-2</v>
      </c>
      <c r="AL56" s="78">
        <v>6.0600000000000003E-3</v>
      </c>
      <c r="AM56" s="9"/>
    </row>
    <row r="57" spans="1:39" x14ac:dyDescent="0.2">
      <c r="A57" s="9"/>
      <c r="B57" s="196">
        <v>1959</v>
      </c>
      <c r="C57" s="207" t="s">
        <v>148</v>
      </c>
      <c r="D57" s="180">
        <f>(S57-V57)/(Q57-V57-Y57+AC57)</f>
        <v>0.2785862785862786</v>
      </c>
      <c r="E57" s="180">
        <f>Z57/P57</f>
        <v>0.52309985096870337</v>
      </c>
      <c r="F57" s="180">
        <f>(T57+U57+V57)/S57</f>
        <v>0.42458100558659218</v>
      </c>
      <c r="G57" s="180">
        <f>(Z57+W57)/P57</f>
        <v>0.73621460506706404</v>
      </c>
      <c r="H57" s="180">
        <f>(Z57/Q57)+((S57+X57+AA57)/(Q57+X57+AA57+AC57))</f>
        <v>0.96961737484170429</v>
      </c>
      <c r="I57" s="180">
        <f>V57/Z57</f>
        <v>0.12820512820512819</v>
      </c>
      <c r="J57" s="180">
        <f>(AB57+AC57)/Z57</f>
        <v>3.1339031339031341E-2</v>
      </c>
      <c r="K57" s="180">
        <f>Y57/P57</f>
        <v>0.10730253353204174</v>
      </c>
      <c r="L57" s="180">
        <f>(X57+AA57)/P57</f>
        <v>0.10581222056631892</v>
      </c>
      <c r="M57" s="186">
        <f>(D57*0.7635+E57*0.7562+F57*0.75+G57*0.7248+H57*0.7021+I57*0.6285+1-J57*0.5884+1-K57*0.5276+L57*0.3663)/6.931</f>
        <v>0.60386155339215775</v>
      </c>
      <c r="N57" s="187">
        <f>M57/0.5053*100</f>
        <v>119.5055518290437</v>
      </c>
      <c r="O57" s="283">
        <f>(N57-100)/100*P57*0.3389</f>
        <v>44.355995464730114</v>
      </c>
      <c r="P57" s="197">
        <v>671</v>
      </c>
      <c r="Q57" s="188">
        <f>P57-X57-AA57-AB57-AC57</f>
        <v>589</v>
      </c>
      <c r="R57" s="188" t="s">
        <v>19</v>
      </c>
      <c r="S57" s="197">
        <v>179</v>
      </c>
      <c r="T57" s="197">
        <v>25</v>
      </c>
      <c r="U57" s="197">
        <v>6</v>
      </c>
      <c r="V57" s="197">
        <v>45</v>
      </c>
      <c r="W57" s="197">
        <v>143</v>
      </c>
      <c r="X57" s="197">
        <v>64</v>
      </c>
      <c r="Y57" s="197">
        <v>72</v>
      </c>
      <c r="Z57" s="188">
        <f>S57+T57+U57*2+V57*3</f>
        <v>351</v>
      </c>
      <c r="AA57" s="197">
        <v>7</v>
      </c>
      <c r="AB57" s="197">
        <v>2</v>
      </c>
      <c r="AC57" s="197">
        <v>9</v>
      </c>
      <c r="AD57" s="9"/>
      <c r="AE57" s="6">
        <v>1966</v>
      </c>
      <c r="AF57" s="77">
        <v>3.3852904201211148E-2</v>
      </c>
      <c r="AG57" s="85">
        <v>0.49572966762159681</v>
      </c>
      <c r="AH57" s="86">
        <v>0.50271934168004262</v>
      </c>
      <c r="AI57" s="76">
        <v>6.7377139429594998E-3</v>
      </c>
      <c r="AJ57" s="41">
        <v>5.5999999999999999E-3</v>
      </c>
      <c r="AK57" s="42">
        <v>1.1955333886592772E-2</v>
      </c>
      <c r="AL57" s="78">
        <v>6.1000000000000004E-3</v>
      </c>
      <c r="AM57" s="9"/>
    </row>
    <row r="58" spans="1:39" x14ac:dyDescent="0.2">
      <c r="A58" s="9"/>
      <c r="B58" s="196">
        <v>1938</v>
      </c>
      <c r="C58" s="207" t="s">
        <v>123</v>
      </c>
      <c r="D58" s="180">
        <f>(S58-V58)/(Q58-V58-Y58+AC58)</f>
        <v>0.32456140350877194</v>
      </c>
      <c r="E58" s="180">
        <f>Z58/P58</f>
        <v>0.4839319470699433</v>
      </c>
      <c r="F58" s="180">
        <f>(T58+U58+V58)/S58</f>
        <v>0.29940119760479039</v>
      </c>
      <c r="G58" s="180">
        <f>(Z58+W58)/P58</f>
        <v>0.66351606805293006</v>
      </c>
      <c r="H58" s="180">
        <f>(Z58/Q58)+((S58+X58+AA58)/(Q58+X58+AA58+AC58))</f>
        <v>0.91913939937247879</v>
      </c>
      <c r="I58" s="180">
        <f>V58/Z58</f>
        <v>7.421875E-2</v>
      </c>
      <c r="J58" s="180">
        <f>(AB58+AC58)/Z58</f>
        <v>1.5625E-2</v>
      </c>
      <c r="K58" s="180">
        <f>Y58/P58</f>
        <v>2.6465028355387523E-2</v>
      </c>
      <c r="L58" s="180">
        <f>(X58+AA58)/P58</f>
        <v>7.5614366729678639E-2</v>
      </c>
      <c r="M58" s="186">
        <f>(D58*0.7635+E58*0.7562+F58*0.75+G58*0.7248+H58*0.7021+I58*0.6285+1-J58*0.5884+1-K58*0.5276+L58*0.3663)/6.931</f>
        <v>0.57938744979494894</v>
      </c>
      <c r="N58" s="187">
        <f>M58/0.5081*100</f>
        <v>114.03020070752783</v>
      </c>
      <c r="O58" s="283">
        <f>(N58-100)/100*P58*0.3389</f>
        <v>25.153077254642444</v>
      </c>
      <c r="P58" s="197">
        <v>529</v>
      </c>
      <c r="Q58" s="189">
        <f>P58-X58-AA58-AB58-AC58</f>
        <v>485</v>
      </c>
      <c r="R58" s="188" t="s">
        <v>19</v>
      </c>
      <c r="S58" s="197">
        <v>167</v>
      </c>
      <c r="T58" s="197">
        <v>30</v>
      </c>
      <c r="U58" s="197">
        <v>1</v>
      </c>
      <c r="V58" s="197">
        <v>19</v>
      </c>
      <c r="W58" s="197">
        <v>95</v>
      </c>
      <c r="X58" s="197">
        <v>40</v>
      </c>
      <c r="Y58" s="197">
        <v>14</v>
      </c>
      <c r="Z58" s="188">
        <f>S58+T58+U58*2+V58*3</f>
        <v>256</v>
      </c>
      <c r="AA58" s="197">
        <v>0</v>
      </c>
      <c r="AB58" s="197">
        <v>0</v>
      </c>
      <c r="AC58" s="199">
        <v>4</v>
      </c>
      <c r="AD58" s="9"/>
      <c r="AE58" s="6">
        <v>1965</v>
      </c>
      <c r="AF58" s="77">
        <v>3.4201052340072001E-2</v>
      </c>
      <c r="AG58" s="85">
        <v>0.49389125172724962</v>
      </c>
      <c r="AH58" s="86">
        <v>0.50387059398973899</v>
      </c>
      <c r="AI58" s="76">
        <v>6.4101519865769627E-3</v>
      </c>
      <c r="AJ58" s="41">
        <v>5.8599999999999998E-3</v>
      </c>
      <c r="AK58" s="42">
        <v>1.2119829931418705E-2</v>
      </c>
      <c r="AL58" s="78">
        <v>6.2399999999999999E-3</v>
      </c>
      <c r="AM58" s="9"/>
    </row>
    <row r="59" spans="1:39" x14ac:dyDescent="0.2">
      <c r="A59" s="9"/>
      <c r="B59" s="196">
        <v>1940</v>
      </c>
      <c r="C59" s="207" t="s">
        <v>405</v>
      </c>
      <c r="D59" s="180">
        <f>(S59-V59)/(Q59-V59-Y59+AC59)</f>
        <v>0.30017452006980805</v>
      </c>
      <c r="E59" s="180">
        <f>Z59/P59</f>
        <v>0.44082840236686388</v>
      </c>
      <c r="F59" s="180">
        <f>(T59+U59+V59)/S59</f>
        <v>0.34554973821989526</v>
      </c>
      <c r="G59" s="180">
        <f>(Z59+W59)/P59</f>
        <v>0.62869822485207105</v>
      </c>
      <c r="H59" s="180">
        <f>(Z59/Q59)+((S59+X59+AA59)/(Q59+X59+AA59+AC59))</f>
        <v>0.85354117575977284</v>
      </c>
      <c r="I59" s="180">
        <f>V59/Z59</f>
        <v>6.3758389261744972E-2</v>
      </c>
      <c r="J59" s="180">
        <f>(AB59+AC59)/Z59</f>
        <v>2.0134228187919462E-2</v>
      </c>
      <c r="K59" s="180">
        <f>Y59/P59</f>
        <v>3.8461538461538464E-2</v>
      </c>
      <c r="L59" s="180">
        <f>(X59+AA59)/P59</f>
        <v>8.4319526627218935E-2</v>
      </c>
      <c r="M59" s="186">
        <f>(D59*0.7635+E59*0.7562+F59*0.75+G59*0.7248+H59*0.7021+I59*0.6285+1-J59*0.5884+1-K59*0.5276+L59*0.3663)/6.931</f>
        <v>0.56492148653559915</v>
      </c>
      <c r="N59" s="187">
        <f>M59/0.506*100</f>
        <v>111.64456255644252</v>
      </c>
      <c r="O59" s="283">
        <f>(N59-100)/100*P59*0.3389</f>
        <v>26.677273612557787</v>
      </c>
      <c r="P59" s="197">
        <v>676</v>
      </c>
      <c r="Q59" s="189">
        <f>P59-X59-AA59-AB59-AC59</f>
        <v>613</v>
      </c>
      <c r="R59" s="188" t="s">
        <v>19</v>
      </c>
      <c r="S59" s="197">
        <v>191</v>
      </c>
      <c r="T59" s="197">
        <v>44</v>
      </c>
      <c r="U59" s="197">
        <v>3</v>
      </c>
      <c r="V59" s="197">
        <v>19</v>
      </c>
      <c r="W59" s="197">
        <v>127</v>
      </c>
      <c r="X59" s="197">
        <v>52</v>
      </c>
      <c r="Y59" s="197">
        <v>26</v>
      </c>
      <c r="Z59" s="188">
        <f>S59+T59+U59*2+V59*3</f>
        <v>298</v>
      </c>
      <c r="AA59" s="197">
        <v>5</v>
      </c>
      <c r="AB59" s="197">
        <v>1</v>
      </c>
      <c r="AC59" s="199">
        <v>5</v>
      </c>
      <c r="AD59" s="9"/>
      <c r="AE59" s="6">
        <v>1964</v>
      </c>
      <c r="AF59" s="77">
        <v>3.4712624989838223E-2</v>
      </c>
      <c r="AG59" s="85">
        <v>0.49670624535059588</v>
      </c>
      <c r="AH59" s="86">
        <v>0.50210778943576273</v>
      </c>
      <c r="AI59" s="76">
        <v>6.1783594829688641E-3</v>
      </c>
      <c r="AJ59" s="41">
        <v>5.64E-3</v>
      </c>
      <c r="AK59" s="42">
        <v>1.1885212584342737E-2</v>
      </c>
      <c r="AL59" s="78">
        <v>6.0099999999999997E-3</v>
      </c>
      <c r="AM59" s="9"/>
    </row>
    <row r="60" spans="1:39" x14ac:dyDescent="0.2">
      <c r="A60" s="9"/>
      <c r="B60" s="196">
        <v>1966</v>
      </c>
      <c r="C60" s="207" t="s">
        <v>137</v>
      </c>
      <c r="D60" s="180">
        <f>(S60-V60)/(Q60-V60-Y60+AC60)</f>
        <v>0.29954954954954954</v>
      </c>
      <c r="E60" s="180">
        <f>Z60/P60</f>
        <v>0.53970588235294115</v>
      </c>
      <c r="F60" s="180">
        <f>(T60+U60+V60)/S60</f>
        <v>0.46703296703296704</v>
      </c>
      <c r="G60" s="180">
        <f>(Z60+W60)/P60</f>
        <v>0.71911764705882353</v>
      </c>
      <c r="H60" s="180">
        <f>(Z60/Q60)+((S60+X60+AA60)/(Q60+X60+AA60+AC60))</f>
        <v>1.0474468954248366</v>
      </c>
      <c r="I60" s="180">
        <f>V60/Z60</f>
        <v>0.1335149863760218</v>
      </c>
      <c r="J60" s="180">
        <f>(AB60+AC60)/Z60</f>
        <v>1.9073569482288829E-2</v>
      </c>
      <c r="K60" s="180">
        <f>Y60/P60</f>
        <v>0.13235294117647059</v>
      </c>
      <c r="L60" s="180">
        <f>(X60+AA60)/P60</f>
        <v>0.1426470588235294</v>
      </c>
      <c r="M60" s="186">
        <f>(D60*0.7635+E60*0.7562+F60*0.75+G60*0.7248+H60*0.7021+I60*0.6285+1-J60*0.5884+1-K60*0.5276+L60*0.3663)/6.931</f>
        <v>0.62023500461598857</v>
      </c>
      <c r="N60" s="187">
        <f>M60/0.4957*100</f>
        <v>125.12305923259805</v>
      </c>
      <c r="O60" s="283">
        <f>(N60-100)/100*P60*0.3389</f>
        <v>57.896592462706863</v>
      </c>
      <c r="P60" s="197">
        <v>680</v>
      </c>
      <c r="Q60" s="188">
        <f>P60-X60-AA60-AB60-AC60</f>
        <v>576</v>
      </c>
      <c r="R60" s="188" t="s">
        <v>19</v>
      </c>
      <c r="S60" s="197">
        <v>182</v>
      </c>
      <c r="T60" s="197">
        <v>34</v>
      </c>
      <c r="U60" s="197">
        <v>2</v>
      </c>
      <c r="V60" s="197">
        <v>49</v>
      </c>
      <c r="W60" s="197">
        <v>122</v>
      </c>
      <c r="X60" s="197">
        <v>87</v>
      </c>
      <c r="Y60" s="197">
        <v>90</v>
      </c>
      <c r="Z60" s="188">
        <f>S60+T60+U60*2+V60*3</f>
        <v>367</v>
      </c>
      <c r="AA60" s="197">
        <v>10</v>
      </c>
      <c r="AB60" s="197">
        <v>0</v>
      </c>
      <c r="AC60" s="197">
        <v>7</v>
      </c>
      <c r="AD60" s="9"/>
      <c r="AE60" s="6">
        <v>1963</v>
      </c>
      <c r="AF60" s="77">
        <v>3.3486684589424484E-2</v>
      </c>
      <c r="AG60" s="85">
        <v>0.49363490553981559</v>
      </c>
      <c r="AH60" s="86">
        <v>0.50403112303067754</v>
      </c>
      <c r="AI60" s="76">
        <v>6.4636328721900359E-3</v>
      </c>
      <c r="AJ60" s="41">
        <v>5.8300000000000001E-3</v>
      </c>
      <c r="AK60" s="42">
        <v>1.1832288747068485E-2</v>
      </c>
      <c r="AL60" s="78">
        <v>6.28E-3</v>
      </c>
      <c r="AM60" s="9"/>
    </row>
    <row r="61" spans="1:39" x14ac:dyDescent="0.2">
      <c r="A61" s="9"/>
      <c r="B61" s="196">
        <v>1961</v>
      </c>
      <c r="C61" s="207" t="s">
        <v>137</v>
      </c>
      <c r="D61" s="180">
        <f>(S61-V61)/(Q61-V61-Y61+AC61)</f>
        <v>0.30616740088105726</v>
      </c>
      <c r="E61" s="180">
        <f>Z61/P61</f>
        <v>0.52358490566037741</v>
      </c>
      <c r="F61" s="180">
        <f>(T61+U61+V61)/S61</f>
        <v>0.43181818181818182</v>
      </c>
      <c r="G61" s="180">
        <f>(Z61+W61)/P61</f>
        <v>0.71855345911949686</v>
      </c>
      <c r="H61" s="180">
        <f>(Z61/Q61)+((S61+X61+AA61)/(Q61+X61+AA61+AC61))</f>
        <v>1.0150972246263921</v>
      </c>
      <c r="I61" s="180">
        <f>V61/Z61</f>
        <v>0.1111111111111111</v>
      </c>
      <c r="J61" s="180">
        <f>(AB61+AC61)/Z61</f>
        <v>3.003003003003003E-2</v>
      </c>
      <c r="K61" s="180">
        <f>Y61/P61</f>
        <v>0.10062893081761007</v>
      </c>
      <c r="L61" s="180">
        <f>(X61+AA61)/P61</f>
        <v>0.12735849056603774</v>
      </c>
      <c r="M61" s="186">
        <f>(D61*0.7635+E61*0.7562+F61*0.75+G61*0.7248+H61*0.7021+I61*0.6285+1-J61*0.5884+1-K61*0.5276+L61*0.3663)/6.931</f>
        <v>0.61070378243187629</v>
      </c>
      <c r="N61" s="187">
        <f>M61/0.5087*100</f>
        <v>120.05185422289684</v>
      </c>
      <c r="O61" s="283">
        <f>(N61-100)/100*P61*0.3389</f>
        <v>43.219846799448732</v>
      </c>
      <c r="P61" s="197">
        <v>636</v>
      </c>
      <c r="Q61" s="188">
        <f>P61-X61-AA61-AB61-AC61</f>
        <v>545</v>
      </c>
      <c r="R61" s="188" t="s">
        <v>19</v>
      </c>
      <c r="S61" s="197">
        <v>176</v>
      </c>
      <c r="T61" s="197">
        <v>32</v>
      </c>
      <c r="U61" s="197">
        <v>7</v>
      </c>
      <c r="V61" s="197">
        <v>37</v>
      </c>
      <c r="W61" s="197">
        <v>124</v>
      </c>
      <c r="X61" s="197">
        <v>71</v>
      </c>
      <c r="Y61" s="197">
        <v>64</v>
      </c>
      <c r="Z61" s="188">
        <f>S61+T61+U61*2+V61*3</f>
        <v>333</v>
      </c>
      <c r="AA61" s="197">
        <v>10</v>
      </c>
      <c r="AB61" s="197">
        <v>0</v>
      </c>
      <c r="AC61" s="197">
        <v>10</v>
      </c>
      <c r="AD61" s="9"/>
      <c r="AE61" s="6">
        <v>1962</v>
      </c>
      <c r="AF61" s="77">
        <v>3.4621713827011839E-2</v>
      </c>
      <c r="AG61" s="85">
        <v>0.50554010861169763</v>
      </c>
      <c r="AH61" s="86">
        <v>0.49657584994690301</v>
      </c>
      <c r="AI61" s="76">
        <v>6.8472807545655228E-3</v>
      </c>
      <c r="AJ61" s="41">
        <v>5.6899999999999997E-3</v>
      </c>
      <c r="AK61" s="42">
        <v>1.0925145494681919E-2</v>
      </c>
      <c r="AL61" s="78">
        <v>6.79E-3</v>
      </c>
      <c r="AM61" s="9"/>
    </row>
    <row r="62" spans="1:39" x14ac:dyDescent="0.2">
      <c r="A62" s="9"/>
      <c r="B62" s="196">
        <v>1911</v>
      </c>
      <c r="C62" s="207" t="s">
        <v>412</v>
      </c>
      <c r="D62" s="180">
        <f>(S62-V62)/(Q62-V62-Y62+AC62)</f>
        <v>0.31147540983606559</v>
      </c>
      <c r="E62" s="180">
        <f>Z62/P62</f>
        <v>0.44637681159420289</v>
      </c>
      <c r="F62" s="180">
        <f>(T62+U62+V62)/S62</f>
        <v>0.41618497109826591</v>
      </c>
      <c r="G62" s="180">
        <f>(Z62+W62)/P62</f>
        <v>0.60144927536231885</v>
      </c>
      <c r="H62" s="180">
        <f>(Z62/Q62)+((S62+X62+AA62)/(Q62+X62+AA62+AC62))</f>
        <v>0.91804974599195088</v>
      </c>
      <c r="I62" s="180">
        <f>V62/Z62</f>
        <v>6.8181818181818177E-2</v>
      </c>
      <c r="J62" s="180">
        <f>(AB62+AC62)/Z62</f>
        <v>0.11688311688311688</v>
      </c>
      <c r="K62" s="180">
        <f>Y62/P62</f>
        <v>0.10289855072463767</v>
      </c>
      <c r="L62" s="180">
        <f>(X62+AA62)/P62</f>
        <v>0.11449275362318841</v>
      </c>
      <c r="M62" s="186">
        <f>(D62*0.7635+E62*0.7562+F62*0.75+G62*0.7248+H62*0.7021+I62*0.6285+1-J62*0.5884+1-K62*0.5276+L62*0.3663)/6.931</f>
        <v>0.56697751798409046</v>
      </c>
      <c r="N62" s="187">
        <f>M62/0.4812*100</f>
        <v>117.82575186701796</v>
      </c>
      <c r="O62" s="283">
        <f>(N62-100)/100*P62*0.3389</f>
        <v>41.683916423353452</v>
      </c>
      <c r="P62" s="197">
        <v>690</v>
      </c>
      <c r="Q62" s="189">
        <f>P62-X62-AA62-AB62-AC62</f>
        <v>575</v>
      </c>
      <c r="R62" s="188" t="s">
        <v>19</v>
      </c>
      <c r="S62" s="197">
        <v>173</v>
      </c>
      <c r="T62" s="197">
        <v>30</v>
      </c>
      <c r="U62" s="197">
        <v>21</v>
      </c>
      <c r="V62" s="197">
        <v>21</v>
      </c>
      <c r="W62" s="197">
        <v>107</v>
      </c>
      <c r="X62" s="197">
        <v>76</v>
      </c>
      <c r="Y62" s="197">
        <v>71</v>
      </c>
      <c r="Z62" s="188">
        <f>S62+T62+U62*2+V62*3</f>
        <v>308</v>
      </c>
      <c r="AA62" s="197">
        <v>3</v>
      </c>
      <c r="AB62" s="197">
        <v>31</v>
      </c>
      <c r="AC62" s="199">
        <v>5</v>
      </c>
      <c r="AD62" s="9"/>
      <c r="AE62" s="6">
        <v>1961</v>
      </c>
      <c r="AF62" s="77">
        <v>3.6270564725849282E-2</v>
      </c>
      <c r="AG62" s="85">
        <v>0.50873212781533794</v>
      </c>
      <c r="AH62" s="86">
        <v>0.49457694453486561</v>
      </c>
      <c r="AI62" s="76">
        <v>6.8800014599472593E-3</v>
      </c>
      <c r="AJ62" s="41">
        <v>5.2300000000000003E-3</v>
      </c>
      <c r="AK62" s="42">
        <v>1.1907694834524103E-2</v>
      </c>
      <c r="AL62" s="78">
        <v>6.94E-3</v>
      </c>
      <c r="AM62" s="9"/>
    </row>
    <row r="63" spans="1:39" x14ac:dyDescent="0.2">
      <c r="A63" s="9"/>
      <c r="B63" s="196">
        <v>1994</v>
      </c>
      <c r="C63" s="207" t="s">
        <v>46</v>
      </c>
      <c r="D63" s="180">
        <f>(S63-V63)/(Q63-V63-Y63+AC63)</f>
        <v>0.33550488599348532</v>
      </c>
      <c r="E63" s="180">
        <f>Z63/P63</f>
        <v>0.56286266924564798</v>
      </c>
      <c r="F63" s="180">
        <f>(T63+U63+V63)/S63</f>
        <v>0.51773049645390068</v>
      </c>
      <c r="G63" s="180">
        <f>(Z63+W63)/P63</f>
        <v>0.75822050290135401</v>
      </c>
      <c r="H63" s="180">
        <f>(Z63/Q63)+((S63+X63+AA63)/(Q63+X63+AA63+AC63))</f>
        <v>1.2167507744215471</v>
      </c>
      <c r="I63" s="180">
        <f>V63/Z63</f>
        <v>0.13058419243986255</v>
      </c>
      <c r="J63" s="180">
        <f>(AB63+AC63)/Z63</f>
        <v>2.4054982817869417E-2</v>
      </c>
      <c r="K63" s="180">
        <f>Y63/P63</f>
        <v>0.11798839458413926</v>
      </c>
      <c r="L63" s="180">
        <f>(X63+AA63)/P63</f>
        <v>0.21470019342359767</v>
      </c>
      <c r="M63" s="186">
        <f>(D63*0.7635+E63*0.7562+F63*0.75+G63*0.7248+H63*0.7021+I63*0.6285+1-J63*0.5884+1-K63*0.5276+L63*0.3663)/6.931</f>
        <v>0.65766033176037686</v>
      </c>
      <c r="N63" s="187">
        <f>M63/0.5225*100</f>
        <v>125.86800607854103</v>
      </c>
      <c r="O63" s="283">
        <f>(N63-100)/100*P63*0.3389</f>
        <v>45.323669734290753</v>
      </c>
      <c r="P63" s="197">
        <v>517</v>
      </c>
      <c r="Q63" s="188">
        <f>P63-X63-AA63-AB63-AC63</f>
        <v>399</v>
      </c>
      <c r="R63" s="188" t="s">
        <v>19</v>
      </c>
      <c r="S63" s="197">
        <v>141</v>
      </c>
      <c r="T63" s="197">
        <v>34</v>
      </c>
      <c r="U63" s="197">
        <v>1</v>
      </c>
      <c r="V63" s="197">
        <v>38</v>
      </c>
      <c r="W63" s="197">
        <v>101</v>
      </c>
      <c r="X63" s="197">
        <v>109</v>
      </c>
      <c r="Y63" s="197">
        <v>61</v>
      </c>
      <c r="Z63" s="188">
        <f>S63+T63+U63*2+V63*3</f>
        <v>291</v>
      </c>
      <c r="AA63" s="197">
        <v>2</v>
      </c>
      <c r="AB63" s="197">
        <v>0</v>
      </c>
      <c r="AC63" s="197">
        <v>7</v>
      </c>
      <c r="AD63" s="9"/>
      <c r="AE63" s="6">
        <v>1960</v>
      </c>
      <c r="AF63" s="77">
        <v>3.6302655725947645E-2</v>
      </c>
      <c r="AG63" s="85">
        <v>0.50264650884908413</v>
      </c>
      <c r="AH63" s="86">
        <v>0.49838787921638944</v>
      </c>
      <c r="AI63" s="76">
        <v>6.9399033897947562E-3</v>
      </c>
      <c r="AJ63" s="41">
        <v>5.1500000000000001E-3</v>
      </c>
      <c r="AK63" s="42">
        <v>1.258253000611724E-2</v>
      </c>
      <c r="AL63" s="78">
        <v>7.3000000000000001E-3</v>
      </c>
      <c r="AM63" s="9"/>
    </row>
    <row r="64" spans="1:39" x14ac:dyDescent="0.2">
      <c r="A64" s="9"/>
      <c r="B64" s="196">
        <v>1993</v>
      </c>
      <c r="C64" s="207" t="s">
        <v>46</v>
      </c>
      <c r="D64" s="180">
        <f>(S64-V64)/(Q64-V64-Y64+AC64)</f>
        <v>0.28479657387580298</v>
      </c>
      <c r="E64" s="180">
        <f>Z64/P64</f>
        <v>0.49260355029585801</v>
      </c>
      <c r="F64" s="180">
        <f>(T64+U64+V64)/S64</f>
        <v>0.44252873563218392</v>
      </c>
      <c r="G64" s="180">
        <f>(Z64+W64)/P64</f>
        <v>0.68195266272189348</v>
      </c>
      <c r="H64" s="180">
        <f>(Z64/Q64)+((S64+X64+AA64)/(Q64+X64+AA64+AC64))</f>
        <v>1.0325928800077602</v>
      </c>
      <c r="I64" s="180">
        <f>V64/Z64</f>
        <v>0.12312312312312312</v>
      </c>
      <c r="J64" s="180">
        <f>(AB64+AC64)/Z64</f>
        <v>3.903903903903904E-2</v>
      </c>
      <c r="K64" s="180">
        <f>Y64/P64</f>
        <v>7.9881656804733733E-2</v>
      </c>
      <c r="L64" s="180">
        <f>(X64+AA64)/P64</f>
        <v>0.16863905325443787</v>
      </c>
      <c r="M64" s="186">
        <f>(D64*0.7635+E64*0.7562+F64*0.75+G64*0.7248+H64*0.7021+I64*0.6285+1-J64*0.5884+1-K64*0.5276+L64*0.3663)/6.931</f>
        <v>0.6081586390124879</v>
      </c>
      <c r="N64" s="187">
        <f>M64/0.5113*100</f>
        <v>118.94360238851709</v>
      </c>
      <c r="O64" s="283">
        <f>(N64-100)/100*P64*0.3389</f>
        <v>43.399111102406671</v>
      </c>
      <c r="P64" s="197">
        <v>676</v>
      </c>
      <c r="Q64" s="188">
        <f>P64-X64-AA64-AB64-AC64</f>
        <v>549</v>
      </c>
      <c r="R64" s="188" t="s">
        <v>19</v>
      </c>
      <c r="S64" s="197">
        <v>174</v>
      </c>
      <c r="T64" s="197">
        <v>36</v>
      </c>
      <c r="U64" s="197">
        <v>0</v>
      </c>
      <c r="V64" s="197">
        <v>41</v>
      </c>
      <c r="W64" s="197">
        <v>128</v>
      </c>
      <c r="X64" s="197">
        <v>112</v>
      </c>
      <c r="Y64" s="197">
        <v>54</v>
      </c>
      <c r="Z64" s="188">
        <f>S64+T64+U64*2+V64*3</f>
        <v>333</v>
      </c>
      <c r="AA64" s="197">
        <v>2</v>
      </c>
      <c r="AB64" s="197">
        <v>0</v>
      </c>
      <c r="AC64" s="197">
        <v>13</v>
      </c>
      <c r="AD64" s="9"/>
      <c r="AE64" s="6">
        <v>1959</v>
      </c>
      <c r="AF64" s="77">
        <v>3.6704412338930105E-2</v>
      </c>
      <c r="AG64" s="85">
        <v>0.50533079749134679</v>
      </c>
      <c r="AH64" s="86">
        <v>0.49670692470071154</v>
      </c>
      <c r="AI64" s="76">
        <v>6.2370062370062374E-3</v>
      </c>
      <c r="AJ64" s="41">
        <v>5.2300000000000003E-3</v>
      </c>
      <c r="AK64" s="42">
        <v>1.1893580421499203E-2</v>
      </c>
      <c r="AL64" s="78">
        <v>6.4999999999999997E-3</v>
      </c>
      <c r="AM64" s="9"/>
    </row>
    <row r="65" spans="1:39" x14ac:dyDescent="0.2">
      <c r="A65" s="9"/>
      <c r="B65" s="196">
        <v>1931</v>
      </c>
      <c r="C65" s="207" t="s">
        <v>238</v>
      </c>
      <c r="D65" s="180">
        <f>(S65-V65)/(Q65-V65-Y65+AC65)</f>
        <v>0.31337325349301398</v>
      </c>
      <c r="E65" s="180">
        <f>Z65/P65</f>
        <v>0.35964912280701755</v>
      </c>
      <c r="F65" s="180">
        <f>(T65+U65+V65)/S65</f>
        <v>0.19875776397515527</v>
      </c>
      <c r="G65" s="180">
        <f>(Z65+W65)/P65</f>
        <v>0.50350877192982457</v>
      </c>
      <c r="H65" s="180">
        <f>(Z65/Q65)+((S65+X65+AA65)/(Q65+X65+AA65+AC65))</f>
        <v>0.76697427774525673</v>
      </c>
      <c r="I65" s="180">
        <f>V65/Z65</f>
        <v>1.9512195121951219E-2</v>
      </c>
      <c r="J65" s="180">
        <f>(AB65+AC65)/Z65</f>
        <v>4.3902439024390241E-2</v>
      </c>
      <c r="K65" s="180">
        <f>Y65/P65</f>
        <v>2.2807017543859651E-2</v>
      </c>
      <c r="L65" s="180">
        <f>(X65+AA65)/P65</f>
        <v>8.24561403508772E-2</v>
      </c>
      <c r="M65" s="186">
        <f>(D65*0.7635+E65*0.7562+F65*0.75+G65*0.7248+H65*0.7021+I65*0.6285+1-J65*0.5884+1-K65*0.5276+L65*0.3663)/6.931</f>
        <v>0.51483670296583639</v>
      </c>
      <c r="N65" s="187">
        <f>M65/0.5064*100</f>
        <v>101.6660155935696</v>
      </c>
      <c r="O65" s="283">
        <f>(N65-100)/100*P65*0.3389</f>
        <v>3.2182923025661974</v>
      </c>
      <c r="P65" s="197">
        <v>570</v>
      </c>
      <c r="Q65" s="189">
        <f>P65-X65-AA65-AB65-AC65</f>
        <v>514</v>
      </c>
      <c r="R65" s="188" t="s">
        <v>19</v>
      </c>
      <c r="S65" s="197">
        <v>161</v>
      </c>
      <c r="T65" s="197">
        <v>24</v>
      </c>
      <c r="U65" s="197">
        <v>4</v>
      </c>
      <c r="V65" s="197">
        <v>4</v>
      </c>
      <c r="W65" s="197">
        <v>82</v>
      </c>
      <c r="X65" s="197">
        <v>45</v>
      </c>
      <c r="Y65" s="197">
        <v>13</v>
      </c>
      <c r="Z65" s="188">
        <f>S65+T65+U65*2+V65*3</f>
        <v>205</v>
      </c>
      <c r="AA65" s="197">
        <v>2</v>
      </c>
      <c r="AB65" s="197">
        <v>5</v>
      </c>
      <c r="AC65" s="199">
        <v>4</v>
      </c>
      <c r="AD65" s="9"/>
      <c r="AE65" s="6">
        <v>1958</v>
      </c>
      <c r="AF65" s="77">
        <v>3.6019963895083357E-2</v>
      </c>
      <c r="AG65" s="85">
        <v>0.50615815645164663</v>
      </c>
      <c r="AH65" s="86">
        <v>0.49618881619385957</v>
      </c>
      <c r="AI65" s="76">
        <v>6.955505999787618E-3</v>
      </c>
      <c r="AJ65" s="41">
        <v>5.3E-3</v>
      </c>
      <c r="AK65" s="42">
        <v>1.1107571413401296E-2</v>
      </c>
      <c r="AL65" s="78">
        <v>6.8399999999999997E-3</v>
      </c>
      <c r="AM65" s="9"/>
    </row>
    <row r="66" spans="1:39" x14ac:dyDescent="0.2">
      <c r="A66" s="9"/>
      <c r="B66" s="196">
        <v>1975</v>
      </c>
      <c r="C66" s="207" t="s">
        <v>378</v>
      </c>
      <c r="D66" s="180">
        <f>(S66-V66)/(Q66-V66-Y66+AC66)</f>
        <v>0.36406619385342792</v>
      </c>
      <c r="E66" s="180">
        <f>Z66/P66</f>
        <v>0.49421487603305786</v>
      </c>
      <c r="F66" s="180">
        <f>(T66+U66+V66)/S66</f>
        <v>0.42857142857142855</v>
      </c>
      <c r="G66" s="180">
        <f>(Z66+W66)/P66</f>
        <v>0.66776859504132235</v>
      </c>
      <c r="H66" s="180">
        <f>(Z66/Q66)+((S66+X66+AA66)/(Q66+X66+AA66+AC66))</f>
        <v>0.96695565842060005</v>
      </c>
      <c r="I66" s="180">
        <f>V66/Z66</f>
        <v>7.0234113712374577E-2</v>
      </c>
      <c r="J66" s="180">
        <f>(AB66+AC66)/Z66</f>
        <v>4.0133779264214048E-2</v>
      </c>
      <c r="K66" s="180">
        <f>Y66/P66</f>
        <v>0.1487603305785124</v>
      </c>
      <c r="L66" s="180">
        <f>(X66+AA66)/P66</f>
        <v>0.10743801652892562</v>
      </c>
      <c r="M66" s="186">
        <f>(D66*0.7635+E66*0.7562+F66*0.75+G66*0.7248+H66*0.7021+I66*0.6285+1-J66*0.5884+1-K66*0.5276+L66*0.3663)/6.931</f>
        <v>0.59405751910913329</v>
      </c>
      <c r="N66" s="187">
        <f>M66/0.4959*100</f>
        <v>119.79381308915775</v>
      </c>
      <c r="O66" s="283">
        <f>(N66-100)/100*P66*0.3389</f>
        <v>40.584145698289149</v>
      </c>
      <c r="P66" s="197">
        <v>605</v>
      </c>
      <c r="Q66" s="188">
        <f>P66-X66-AA66-AB66-AC66</f>
        <v>528</v>
      </c>
      <c r="R66" s="188" t="s">
        <v>19</v>
      </c>
      <c r="S66" s="197">
        <v>175</v>
      </c>
      <c r="T66" s="197">
        <v>47</v>
      </c>
      <c r="U66" s="197">
        <v>7</v>
      </c>
      <c r="V66" s="197">
        <v>21</v>
      </c>
      <c r="W66" s="197">
        <v>105</v>
      </c>
      <c r="X66" s="197">
        <v>62</v>
      </c>
      <c r="Y66" s="197">
        <v>90</v>
      </c>
      <c r="Z66" s="188">
        <f>S66+T66+U66*2+V66*3</f>
        <v>299</v>
      </c>
      <c r="AA66" s="197">
        <v>3</v>
      </c>
      <c r="AB66" s="197">
        <v>6</v>
      </c>
      <c r="AC66" s="197">
        <v>6</v>
      </c>
      <c r="AD66" s="9"/>
      <c r="AE66" s="6">
        <v>1957</v>
      </c>
      <c r="AF66" s="77">
        <v>3.5589277105908493E-2</v>
      </c>
      <c r="AG66" s="85">
        <v>0.50438378455612631</v>
      </c>
      <c r="AH66" s="86">
        <v>0.49729996288773848</v>
      </c>
      <c r="AI66" s="76">
        <v>7.0424011234306557E-3</v>
      </c>
      <c r="AJ66" s="41">
        <v>5.3600000000000002E-3</v>
      </c>
      <c r="AK66" s="42">
        <v>1.168493638783509E-2</v>
      </c>
      <c r="AL66" s="78">
        <v>7.1999999999999998E-3</v>
      </c>
      <c r="AM66" s="9"/>
    </row>
    <row r="67" spans="1:39" x14ac:dyDescent="0.2">
      <c r="A67" s="9"/>
      <c r="B67" s="196">
        <v>2020</v>
      </c>
      <c r="C67" s="207" t="s">
        <v>332</v>
      </c>
      <c r="D67" s="180">
        <f>(S67-V67)/(Q67-V67-Y67+AC67)</f>
        <v>0.36585365853658536</v>
      </c>
      <c r="E67" s="180">
        <f>Z67/P67</f>
        <v>0.52290076335877866</v>
      </c>
      <c r="F67" s="180">
        <f>(T67+U67+V67)/S67</f>
        <v>0.50684931506849318</v>
      </c>
      <c r="G67" s="180">
        <f>(Z67+W67)/P67</f>
        <v>0.72519083969465647</v>
      </c>
      <c r="H67" s="180">
        <f>(Z67/Q67)+((S67+X67+AA67)/(Q67+X67+AA67+AC67))</f>
        <v>1.1020189769565527</v>
      </c>
      <c r="I67" s="180">
        <f>V67/Z67</f>
        <v>9.4890510948905105E-2</v>
      </c>
      <c r="J67" s="228">
        <f>(AB67+AC67)/Z67</f>
        <v>0</v>
      </c>
      <c r="K67" s="180">
        <f>Y67/P67</f>
        <v>0.14122137404580154</v>
      </c>
      <c r="L67" s="180">
        <f>(X67+AA67)/P67</f>
        <v>0.18320610687022901</v>
      </c>
      <c r="M67" s="186">
        <f>(D67*0.7635+E67*0.7562+F67*0.75+G67*0.7248+H67*0.7021+I67*0.6285+1-J67*0.5884+1-K67*0.5276+L67*0.3663)/6.931</f>
        <v>0.63576227706091903</v>
      </c>
      <c r="N67" s="187">
        <f>M67/0.5234*100</f>
        <v>121.4677640544362</v>
      </c>
      <c r="O67" s="283">
        <f>(N67-100)/100*P67*0.3389</f>
        <v>19.061614123686883</v>
      </c>
      <c r="P67" s="197">
        <v>262</v>
      </c>
      <c r="Q67" s="188">
        <f>P67-X67-AA67-AB67-AC67</f>
        <v>214</v>
      </c>
      <c r="R67" s="188" t="s">
        <v>19</v>
      </c>
      <c r="S67" s="197">
        <v>73</v>
      </c>
      <c r="T67" s="197">
        <v>23</v>
      </c>
      <c r="U67" s="197">
        <v>1</v>
      </c>
      <c r="V67" s="197">
        <v>13</v>
      </c>
      <c r="W67" s="197">
        <v>53</v>
      </c>
      <c r="X67" s="197">
        <v>45</v>
      </c>
      <c r="Y67" s="197">
        <v>37</v>
      </c>
      <c r="Z67" s="188">
        <f>S67+T67+U67*2+V67*3</f>
        <v>137</v>
      </c>
      <c r="AA67" s="197">
        <v>3</v>
      </c>
      <c r="AB67" s="197">
        <v>0</v>
      </c>
      <c r="AC67" s="197">
        <v>0</v>
      </c>
      <c r="AD67" s="9"/>
      <c r="AE67" s="6">
        <v>1956</v>
      </c>
      <c r="AF67" s="77">
        <v>3.5048862670179599E-2</v>
      </c>
      <c r="AG67" s="85">
        <v>0.50786400474976801</v>
      </c>
      <c r="AH67" s="86">
        <v>0.49512058032881812</v>
      </c>
      <c r="AI67" s="76">
        <v>7.6101903072417522E-3</v>
      </c>
      <c r="AJ67" s="41">
        <v>5.0499999999999998E-3</v>
      </c>
      <c r="AK67" s="42">
        <v>1.3152508213757125E-2</v>
      </c>
      <c r="AL67" s="78">
        <v>6.7600000000000004E-3</v>
      </c>
      <c r="AM67" s="9"/>
    </row>
    <row r="68" spans="1:39" x14ac:dyDescent="0.2">
      <c r="A68" s="9"/>
      <c r="B68" s="196">
        <v>1935</v>
      </c>
      <c r="C68" s="207" t="s">
        <v>219</v>
      </c>
      <c r="D68" s="180">
        <f>(S68-V68)/(Q68-V68-Y68+AC68)</f>
        <v>0.36440677966101692</v>
      </c>
      <c r="E68" s="180">
        <f>Z68/P68</f>
        <v>0.48806941431670281</v>
      </c>
      <c r="F68" s="180">
        <f>(T68+U68+V68)/S68</f>
        <v>0.35915492957746481</v>
      </c>
      <c r="G68" s="180">
        <f>(Z68+W68)/P68</f>
        <v>0.68546637744034711</v>
      </c>
      <c r="H68" s="180">
        <f>(Z68/Q68)+((S68+X68+AA68)/(Q68+X68+AA68+AC68))</f>
        <v>0.9545178537843575</v>
      </c>
      <c r="I68" s="180">
        <f>V68/Z68</f>
        <v>5.7777777777777775E-2</v>
      </c>
      <c r="J68" s="180">
        <f>(AB68+AC68)/Z68</f>
        <v>4.4444444444444446E-2</v>
      </c>
      <c r="K68" s="180">
        <f>Y68/P68</f>
        <v>9.9783080260303691E-2</v>
      </c>
      <c r="L68" s="180">
        <f>(X68+AA68)/P68</f>
        <v>9.1106290672451198E-2</v>
      </c>
      <c r="M68" s="186">
        <f>(D68*0.7635+E68*0.7562+F68*0.75+G68*0.7248+H68*0.7021+I68*0.6285+1-J68*0.5884+1-K68*0.5276+L68*0.3663)/6.931</f>
        <v>0.58787343578438067</v>
      </c>
      <c r="N68" s="187">
        <f>M68/0.5105*100</f>
        <v>115.15640270017251</v>
      </c>
      <c r="O68" s="283">
        <f>(N68-100)/100*P68*0.3389</f>
        <v>23.67928747415781</v>
      </c>
      <c r="P68" s="197">
        <v>461</v>
      </c>
      <c r="Q68" s="189">
        <f>P68-X68-AA68-AB68-AC68</f>
        <v>409</v>
      </c>
      <c r="R68" s="188" t="s">
        <v>19</v>
      </c>
      <c r="S68" s="197">
        <v>142</v>
      </c>
      <c r="T68" s="197">
        <v>32</v>
      </c>
      <c r="U68" s="197">
        <v>6</v>
      </c>
      <c r="V68" s="197">
        <v>13</v>
      </c>
      <c r="W68" s="197">
        <v>91</v>
      </c>
      <c r="X68" s="197">
        <v>41</v>
      </c>
      <c r="Y68" s="197">
        <v>46</v>
      </c>
      <c r="Z68" s="188">
        <f>S68+T68+U68*2+V68*3</f>
        <v>225</v>
      </c>
      <c r="AA68" s="197">
        <v>1</v>
      </c>
      <c r="AB68" s="197">
        <v>6</v>
      </c>
      <c r="AC68" s="199">
        <v>4</v>
      </c>
      <c r="AD68" s="9"/>
      <c r="AE68" s="6">
        <v>1955</v>
      </c>
      <c r="AF68" s="77">
        <v>3.4201971531671801E-2</v>
      </c>
      <c r="AG68" s="85">
        <v>0.50637007769148157</v>
      </c>
      <c r="AH68" s="86">
        <v>0.49605610693172575</v>
      </c>
      <c r="AI68" s="76">
        <v>7.3643125414242583E-3</v>
      </c>
      <c r="AJ68" s="41">
        <v>5.3200000000000001E-3</v>
      </c>
      <c r="AK68" s="42">
        <v>1.2487769980957991E-2</v>
      </c>
      <c r="AL68" s="78">
        <v>7.3400000000000002E-3</v>
      </c>
      <c r="AM68" s="9"/>
    </row>
    <row r="69" spans="1:39" x14ac:dyDescent="0.2">
      <c r="A69" s="9"/>
      <c r="B69" s="196">
        <v>1987</v>
      </c>
      <c r="C69" s="207" t="s">
        <v>367</v>
      </c>
      <c r="D69" s="180">
        <f>(S69-V69)/(Q69-V69-Y69+AC69)</f>
        <v>0.28256513026052105</v>
      </c>
      <c r="E69" s="180">
        <f>Z69/P69</f>
        <v>0.55322338830584705</v>
      </c>
      <c r="F69" s="180">
        <f>(T69+U69+V69)/S69</f>
        <v>0.44148936170212766</v>
      </c>
      <c r="G69" s="180">
        <f>(Z69+W69)/P69</f>
        <v>0.75412293853073464</v>
      </c>
      <c r="H69" s="180">
        <f>(Z69/Q69)+((S69+X69+AA69)/(Q69+X69+AA69+AC69))</f>
        <v>0.9537657641767352</v>
      </c>
      <c r="I69" s="180">
        <f>V69/Z69</f>
        <v>0.12737127371273713</v>
      </c>
      <c r="J69" s="180">
        <f>(AB69+AC69)/Z69</f>
        <v>2.4390243902439025E-2</v>
      </c>
      <c r="K69" s="180">
        <f>Y69/P69</f>
        <v>0.11244377811094453</v>
      </c>
      <c r="L69" s="180">
        <f>(X69+AA69)/P69</f>
        <v>6.8965517241379309E-2</v>
      </c>
      <c r="M69" s="186">
        <f>(D69*0.7635+E69*0.7562+F69*0.75+G69*0.7248+H69*0.7021+I69*0.6285+1-J69*0.5884+1-K69*0.5276+L69*0.3663)/6.931</f>
        <v>0.60785869730102293</v>
      </c>
      <c r="N69" s="187">
        <f>M69/0.5181*100</f>
        <v>117.3245893265823</v>
      </c>
      <c r="O69" s="283">
        <f>(N69-100)/100*P69*0.3389</f>
        <v>39.161593162934203</v>
      </c>
      <c r="P69" s="197">
        <v>667</v>
      </c>
      <c r="Q69" s="188">
        <f>P69-X69-AA69-AB69-AC69</f>
        <v>612</v>
      </c>
      <c r="R69" s="188" t="s">
        <v>19</v>
      </c>
      <c r="S69" s="197">
        <v>188</v>
      </c>
      <c r="T69" s="197">
        <v>32</v>
      </c>
      <c r="U69" s="197">
        <v>4</v>
      </c>
      <c r="V69" s="197">
        <v>47</v>
      </c>
      <c r="W69" s="197">
        <v>134</v>
      </c>
      <c r="X69" s="197">
        <v>39</v>
      </c>
      <c r="Y69" s="197">
        <v>75</v>
      </c>
      <c r="Z69" s="188">
        <f>S69+T69+U69*2+V69*3</f>
        <v>369</v>
      </c>
      <c r="AA69" s="197">
        <v>7</v>
      </c>
      <c r="AB69" s="197">
        <v>0</v>
      </c>
      <c r="AC69" s="197">
        <v>9</v>
      </c>
      <c r="AD69" s="9"/>
      <c r="AE69" s="6">
        <v>1954</v>
      </c>
      <c r="AF69" s="77">
        <v>3.6145838782235706E-2</v>
      </c>
      <c r="AG69" s="85">
        <v>0.50396333704975282</v>
      </c>
      <c r="AH69" s="86">
        <v>0.49756325541273611</v>
      </c>
      <c r="AI69" s="76">
        <v>8.2544332269707584E-3</v>
      </c>
      <c r="AJ69" s="41">
        <v>4.6100000000000004E-3</v>
      </c>
      <c r="AK69" s="42">
        <v>1.3935240885076109E-2</v>
      </c>
      <c r="AL69" s="78">
        <v>8.3199999999999993E-3</v>
      </c>
      <c r="AM69" s="9"/>
    </row>
    <row r="70" spans="1:39" x14ac:dyDescent="0.2">
      <c r="A70" s="9"/>
      <c r="B70" s="196">
        <v>1980</v>
      </c>
      <c r="C70" s="207" t="s">
        <v>88</v>
      </c>
      <c r="D70" s="180">
        <f>(S70-V70)/(Q70-V70-Y70+AC70)</f>
        <v>0.36829268292682926</v>
      </c>
      <c r="E70" s="180">
        <f>Z70/P70</f>
        <v>0.57864077669902914</v>
      </c>
      <c r="F70" s="180">
        <f>(T70+U70+V70)/S70</f>
        <v>0.37714285714285717</v>
      </c>
      <c r="G70" s="180">
        <f>(Z70+W70)/P70</f>
        <v>0.80776699029126209</v>
      </c>
      <c r="H70" s="180">
        <f>(Z70/Q70)+((S70+X70+AA70)/(Q70+X70+AA70+AC70))</f>
        <v>1.118066036715895</v>
      </c>
      <c r="I70" s="180">
        <f>V70/Z70</f>
        <v>8.0536912751677847E-2</v>
      </c>
      <c r="J70" s="180">
        <f>(AB70+AC70)/Z70</f>
        <v>2.3489932885906041E-2</v>
      </c>
      <c r="K70" s="180">
        <f>Y70/P70</f>
        <v>4.2718446601941747E-2</v>
      </c>
      <c r="L70" s="180">
        <f>(X70+AA70)/P70</f>
        <v>0.1145631067961165</v>
      </c>
      <c r="M70" s="186">
        <f>(D70*0.7635+E70*0.7562+F70*0.75+G70*0.7248+H70*0.7021+I70*0.6285+1-J70*0.5884+1-K70*0.5276+L70*0.3663)/6.931</f>
        <v>0.63891251295621343</v>
      </c>
      <c r="N70" s="187">
        <f>M70/0.5026*100</f>
        <v>127.1214709423425</v>
      </c>
      <c r="O70" s="283">
        <f>(N70-100)/100*P70*0.3389</f>
        <v>47.336052487153339</v>
      </c>
      <c r="P70" s="197">
        <v>515</v>
      </c>
      <c r="Q70" s="188">
        <f>P70-X70-AA70-AB70-AC70</f>
        <v>449</v>
      </c>
      <c r="R70" s="188" t="s">
        <v>19</v>
      </c>
      <c r="S70" s="197">
        <v>175</v>
      </c>
      <c r="T70" s="197">
        <v>33</v>
      </c>
      <c r="U70" s="197">
        <v>9</v>
      </c>
      <c r="V70" s="197">
        <v>24</v>
      </c>
      <c r="W70" s="197">
        <v>118</v>
      </c>
      <c r="X70" s="197">
        <v>58</v>
      </c>
      <c r="Y70" s="197">
        <v>22</v>
      </c>
      <c r="Z70" s="188">
        <f>S70+T70+U70*2+V70*3</f>
        <v>298</v>
      </c>
      <c r="AA70" s="197">
        <v>1</v>
      </c>
      <c r="AB70" s="197">
        <v>0</v>
      </c>
      <c r="AC70" s="197">
        <v>7</v>
      </c>
      <c r="AD70" s="9"/>
      <c r="AE70" s="6">
        <v>1953</v>
      </c>
      <c r="AF70" s="77">
        <v>3.7641167473337941E-2</v>
      </c>
      <c r="AG70" s="85">
        <v>0.50883146337001872</v>
      </c>
      <c r="AH70" s="86">
        <v>0.49451473865037948</v>
      </c>
      <c r="AI70" s="76">
        <v>7.8048065036562114E-3</v>
      </c>
      <c r="AJ70" s="41">
        <v>5.1000000000000004E-3</v>
      </c>
      <c r="AK70" s="42">
        <v>1.3042931673895279E-2</v>
      </c>
      <c r="AL70" s="79">
        <v>7.9299999999999995E-3</v>
      </c>
      <c r="AM70" s="9"/>
    </row>
    <row r="71" spans="1:39" x14ac:dyDescent="0.2">
      <c r="A71" s="9"/>
      <c r="B71" s="196">
        <v>1926</v>
      </c>
      <c r="C71" s="207" t="s">
        <v>407</v>
      </c>
      <c r="D71" s="180">
        <f>(S71-V71)/(Q71-V71-Y71+AC71)</f>
        <v>0.37455830388692579</v>
      </c>
      <c r="E71" s="180">
        <f>Z71/P71</f>
        <v>0.45357686453576862</v>
      </c>
      <c r="F71" s="180">
        <f>(T71+U71+V71)/S71</f>
        <v>0.32870370370370372</v>
      </c>
      <c r="G71" s="180">
        <f>(Z71+W71)/P71</f>
        <v>0.62861491628614918</v>
      </c>
      <c r="H71" s="180">
        <f>(Z71/Q71)+((S71+X71+AA71)/(Q71+X71+AA71+AC71))</f>
        <v>0.89269395638042304</v>
      </c>
      <c r="I71" s="180">
        <f>V71/Z71</f>
        <v>1.3422818791946308E-2</v>
      </c>
      <c r="J71" s="180">
        <f>(AB71+AC71)/Z71</f>
        <v>7.7181208053691275E-2</v>
      </c>
      <c r="K71" s="180">
        <f>Y71/P71</f>
        <v>5.0228310502283102E-2</v>
      </c>
      <c r="L71" s="180">
        <f>(X71+AA71)/P71</f>
        <v>5.4794520547945202E-2</v>
      </c>
      <c r="M71" s="186">
        <f>(D71*0.7635+E71*0.7562+F71*0.75+G71*0.7248+H71*0.7021+I71*0.6285+1-J71*0.5884+1-K71*0.5276+L71*0.3663)/6.931</f>
        <v>0.56477737424670948</v>
      </c>
      <c r="N71" s="187">
        <f>M71/0.5012*100</f>
        <v>112.68503077548075</v>
      </c>
      <c r="O71" s="283">
        <f>(N71-100)/100*P71*0.3389</f>
        <v>28.24414702885451</v>
      </c>
      <c r="P71" s="197">
        <v>657</v>
      </c>
      <c r="Q71" s="189">
        <f>P71-X71-AA71-AB71-AC71</f>
        <v>598</v>
      </c>
      <c r="R71" s="188" t="s">
        <v>19</v>
      </c>
      <c r="S71" s="197">
        <v>216</v>
      </c>
      <c r="T71" s="197">
        <v>64</v>
      </c>
      <c r="U71" s="197">
        <v>3</v>
      </c>
      <c r="V71" s="197">
        <v>4</v>
      </c>
      <c r="W71" s="197">
        <v>115</v>
      </c>
      <c r="X71" s="197">
        <v>28</v>
      </c>
      <c r="Y71" s="197">
        <v>33</v>
      </c>
      <c r="Z71" s="188">
        <f>S71+T71+U71*2+V71*3</f>
        <v>298</v>
      </c>
      <c r="AA71" s="197">
        <v>8</v>
      </c>
      <c r="AB71" s="197">
        <v>18</v>
      </c>
      <c r="AC71" s="199">
        <v>5</v>
      </c>
      <c r="AD71" s="9"/>
      <c r="AE71" s="6">
        <v>1952</v>
      </c>
      <c r="AF71" s="77">
        <v>3.5720310391363023E-2</v>
      </c>
      <c r="AG71" s="85">
        <v>0.49444013477391269</v>
      </c>
      <c r="AH71" s="86">
        <v>0.5035268725950498</v>
      </c>
      <c r="AI71" s="76">
        <v>7.1377361673414302E-3</v>
      </c>
      <c r="AJ71" s="41">
        <v>5.0800000000000003E-3</v>
      </c>
      <c r="AK71" s="42">
        <v>1.427547233468286E-2</v>
      </c>
      <c r="AL71" s="79">
        <v>8.26E-3</v>
      </c>
      <c r="AM71" s="9"/>
    </row>
    <row r="72" spans="1:39" x14ac:dyDescent="0.2">
      <c r="A72" s="9"/>
      <c r="B72" s="196">
        <v>1977</v>
      </c>
      <c r="C72" s="207" t="s">
        <v>376</v>
      </c>
      <c r="D72" s="180">
        <f>(S72-V72)/(Q72-V72-Y72+AC72)</f>
        <v>0.3125</v>
      </c>
      <c r="E72" s="180">
        <f>Z72/P72</f>
        <v>0.56313497822931791</v>
      </c>
      <c r="F72" s="180">
        <f>(T72+U72+V72)/S72</f>
        <v>0.43147208121827413</v>
      </c>
      <c r="G72" s="180">
        <f>(Z72+W72)/P72</f>
        <v>0.77939042089985489</v>
      </c>
      <c r="H72" s="180">
        <f>(Z72/Q72)+((S72+X72+AA72)/(Q72+X72+AA72+AC72))</f>
        <v>1.0126069359387353</v>
      </c>
      <c r="I72" s="180">
        <f>V72/Z72</f>
        <v>0.13402061855670103</v>
      </c>
      <c r="J72" s="180">
        <f>(AB72+AC72)/Z72</f>
        <v>2.0618556701030927E-2</v>
      </c>
      <c r="K72" s="180">
        <f>Y72/P72</f>
        <v>0.15529753265602322</v>
      </c>
      <c r="L72" s="180">
        <f>(X72+AA72)/P72</f>
        <v>9.579100145137881E-2</v>
      </c>
      <c r="M72" s="186">
        <f>(D72*0.7635+E72*0.7562+F72*0.75+G72*0.7248+H72*0.7021+I72*0.6285+1-J72*0.5884+1-K72*0.5276+L72*0.3663)/6.931</f>
        <v>0.61883526963552737</v>
      </c>
      <c r="N72" s="187">
        <f>M72/0.5098*100</f>
        <v>121.38785202736904</v>
      </c>
      <c r="O72" s="283">
        <f>(N72-100)/100*P72*0.3389</f>
        <v>49.941083628799277</v>
      </c>
      <c r="P72" s="197">
        <v>689</v>
      </c>
      <c r="Q72" s="188">
        <f>P72-X72-AA72-AB72-AC72</f>
        <v>615</v>
      </c>
      <c r="R72" s="188" t="s">
        <v>19</v>
      </c>
      <c r="S72" s="197">
        <v>197</v>
      </c>
      <c r="T72" s="197">
        <v>31</v>
      </c>
      <c r="U72" s="197">
        <v>2</v>
      </c>
      <c r="V72" s="197">
        <v>52</v>
      </c>
      <c r="W72" s="197">
        <v>149</v>
      </c>
      <c r="X72" s="197">
        <v>61</v>
      </c>
      <c r="Y72" s="197">
        <v>107</v>
      </c>
      <c r="Z72" s="188">
        <f>S72+T72+U72*2+V72*3</f>
        <v>388</v>
      </c>
      <c r="AA72" s="197">
        <v>5</v>
      </c>
      <c r="AB72" s="197">
        <v>0</v>
      </c>
      <c r="AC72" s="197">
        <v>8</v>
      </c>
      <c r="AD72" s="9"/>
      <c r="AE72" s="6">
        <v>1951</v>
      </c>
      <c r="AF72" s="77">
        <v>3.7296571256026069E-2</v>
      </c>
      <c r="AG72" s="85">
        <v>0.50404063790019482</v>
      </c>
      <c r="AH72" s="86">
        <v>0.49751484809484542</v>
      </c>
      <c r="AI72" s="76">
        <v>7.4551493632927608E-3</v>
      </c>
      <c r="AJ72" s="41">
        <v>4.6800000000000001E-3</v>
      </c>
      <c r="AK72" s="42">
        <v>1.2911152528607573E-2</v>
      </c>
      <c r="AL72" s="79">
        <v>7.1799999999999998E-3</v>
      </c>
      <c r="AM72" s="9"/>
    </row>
    <row r="73" spans="1:39" x14ac:dyDescent="0.2">
      <c r="A73" s="9"/>
      <c r="B73" s="196">
        <v>1922</v>
      </c>
      <c r="C73" s="207" t="s">
        <v>261</v>
      </c>
      <c r="D73" s="180">
        <f>(S73-V73)/(Q73-V73-Y73+AC73)</f>
        <v>0.42123893805309737</v>
      </c>
      <c r="E73" s="180">
        <f>Z73/P73</f>
        <v>0.5312977099236641</v>
      </c>
      <c r="F73" s="180">
        <f>(T73+U73+V73)/S73</f>
        <v>0.27642276422764228</v>
      </c>
      <c r="G73" s="180">
        <f>(Z73+W73)/P73</f>
        <v>0.69160305343511452</v>
      </c>
      <c r="H73" s="180">
        <f>(Z73/Q73)+((S73+X73+AA73)/(Q73+X73+AA73+AC73))</f>
        <v>1.0653209753837618</v>
      </c>
      <c r="I73" s="180">
        <f>V73/Z73</f>
        <v>2.2988505747126436E-2</v>
      </c>
      <c r="J73" s="180">
        <f>(AB73+AC73)/Z73</f>
        <v>6.3218390804597707E-2</v>
      </c>
      <c r="K73" s="180">
        <f>Y73/P73</f>
        <v>2.1374045801526718E-2</v>
      </c>
      <c r="L73" s="180">
        <f>(X73+AA73)/P73</f>
        <v>7.9389312977099238E-2</v>
      </c>
      <c r="M73" s="186">
        <f>(D73*0.7635+E73*0.7562+F73*0.75+G73*0.7248+H73*0.7021+I73*0.6285+1-J73*0.5884+1-K73*0.5276+L73*0.3663)/6.931</f>
        <v>0.60236474016109176</v>
      </c>
      <c r="N73" s="187">
        <f>M73/0.5043*100</f>
        <v>119.44571488421411</v>
      </c>
      <c r="O73" s="283">
        <f>(N73-100)/100*P73*0.3389</f>
        <v>43.165500671404061</v>
      </c>
      <c r="P73" s="197">
        <v>655</v>
      </c>
      <c r="Q73" s="189">
        <f>P73-X73-AA73-AB73-AC73</f>
        <v>581</v>
      </c>
      <c r="R73" s="188" t="s">
        <v>19</v>
      </c>
      <c r="S73" s="197">
        <v>246</v>
      </c>
      <c r="T73" s="197">
        <v>42</v>
      </c>
      <c r="U73" s="197">
        <v>18</v>
      </c>
      <c r="V73" s="197">
        <v>8</v>
      </c>
      <c r="W73" s="197">
        <v>105</v>
      </c>
      <c r="X73" s="197">
        <v>49</v>
      </c>
      <c r="Y73" s="197">
        <v>14</v>
      </c>
      <c r="Z73" s="188">
        <f>S73+T73+U73*2+V73*3</f>
        <v>348</v>
      </c>
      <c r="AA73" s="197">
        <v>3</v>
      </c>
      <c r="AB73" s="197">
        <v>16</v>
      </c>
      <c r="AC73" s="199">
        <v>6</v>
      </c>
      <c r="AD73" s="9"/>
      <c r="AE73" s="6">
        <v>1950</v>
      </c>
      <c r="AF73" s="77">
        <v>3.8487844307654041E-2</v>
      </c>
      <c r="AG73" s="85">
        <v>0.5127650581677905</v>
      </c>
      <c r="AH73" s="86">
        <v>0.49205144396811024</v>
      </c>
      <c r="AI73" s="76">
        <v>8.2177868971377646E-3</v>
      </c>
      <c r="AJ73" s="41">
        <v>4.5199999999999997E-3</v>
      </c>
      <c r="AK73" s="42">
        <v>1.2943273435718876E-2</v>
      </c>
      <c r="AL73" s="79">
        <v>6.8700000000000002E-3</v>
      </c>
      <c r="AM73" s="9"/>
    </row>
    <row r="74" spans="1:39" x14ac:dyDescent="0.2">
      <c r="A74" s="9"/>
      <c r="B74" s="196">
        <v>2017</v>
      </c>
      <c r="C74" s="207" t="s">
        <v>337</v>
      </c>
      <c r="D74" s="180">
        <f>(S74-V74)/(Q74-V74-Y74+AC74)</f>
        <v>0.28835978835978837</v>
      </c>
      <c r="E74" s="180">
        <f>Z74/P74</f>
        <v>0.5447976878612717</v>
      </c>
      <c r="F74" s="180">
        <f>(T74+U74+V74)/S74</f>
        <v>0.54166666666666663</v>
      </c>
      <c r="G74" s="180">
        <f>(Z74+W74)/P74</f>
        <v>0.73554913294797686</v>
      </c>
      <c r="H74" s="180">
        <f>(Z74/Q74)+((S74+X74+AA74)/(Q74+X74+AA74+AC74))</f>
        <v>1.007213330622283</v>
      </c>
      <c r="I74" s="180">
        <f>V74/Z74</f>
        <v>0.15649867374005305</v>
      </c>
      <c r="J74" s="180">
        <f>(AB74+AC74)/Z74</f>
        <v>7.9575596816976128E-3</v>
      </c>
      <c r="K74" s="180">
        <f>Y74/P74</f>
        <v>0.23554913294797689</v>
      </c>
      <c r="L74" s="180">
        <f>(X74+AA74)/P74</f>
        <v>0.13294797687861271</v>
      </c>
      <c r="M74" s="186">
        <f>(D74*0.7635+E74*0.7562+F74*0.75+G74*0.7248+H74*0.7021+I74*0.6285+1-J74*0.5884+1-K74*0.5276+L74*0.3663)/6.931</f>
        <v>0.61993644649836765</v>
      </c>
      <c r="N74" s="187">
        <f>M74/0.5241*100</f>
        <v>118.2859085095149</v>
      </c>
      <c r="O74" s="283">
        <f>(N74-100)/100*P74*0.3389</f>
        <v>42.883893205612218</v>
      </c>
      <c r="P74" s="197">
        <v>692</v>
      </c>
      <c r="Q74" s="188">
        <f>P74-X74-AA74-AB74-AC74</f>
        <v>597</v>
      </c>
      <c r="R74" s="188" t="s">
        <v>19</v>
      </c>
      <c r="S74" s="197">
        <v>168</v>
      </c>
      <c r="T74" s="197">
        <v>32</v>
      </c>
      <c r="U74" s="197">
        <v>0</v>
      </c>
      <c r="V74" s="197">
        <v>59</v>
      </c>
      <c r="W74" s="197">
        <v>132</v>
      </c>
      <c r="X74" s="197">
        <v>85</v>
      </c>
      <c r="Y74" s="197">
        <v>163</v>
      </c>
      <c r="Z74" s="188">
        <f>S74+T74+U74*2+V74*3</f>
        <v>377</v>
      </c>
      <c r="AA74" s="197">
        <v>7</v>
      </c>
      <c r="AB74" s="197">
        <v>0</v>
      </c>
      <c r="AC74" s="197">
        <v>3</v>
      </c>
      <c r="AD74" s="9"/>
      <c r="AE74" s="6">
        <v>1949</v>
      </c>
      <c r="AF74" s="77">
        <v>3.7428820815495242E-2</v>
      </c>
      <c r="AG74" s="85">
        <v>0.50291978125318548</v>
      </c>
      <c r="AH74" s="86">
        <v>0.49821675064457621</v>
      </c>
      <c r="AI74" s="76">
        <v>7.9076437092148472E-3</v>
      </c>
      <c r="AJ74" s="41">
        <v>3.8999999999999998E-3</v>
      </c>
      <c r="AK74" s="42">
        <v>1.4630699530321294E-2</v>
      </c>
      <c r="AL74" s="79">
        <v>8.4700000000000001E-3</v>
      </c>
      <c r="AM74" s="9"/>
    </row>
    <row r="75" spans="1:39" x14ac:dyDescent="0.2">
      <c r="A75" s="9"/>
      <c r="B75" s="210">
        <v>1945</v>
      </c>
      <c r="C75" s="211" t="s">
        <v>109</v>
      </c>
      <c r="D75" s="181">
        <f>(S75-V75)/(Q75-V75-Y75+AC75)</f>
        <v>0.25573770491803277</v>
      </c>
      <c r="E75" s="181">
        <f>Z75/P75</f>
        <v>0.23473433782712133</v>
      </c>
      <c r="F75" s="181">
        <f>(T75+U75+V75)/S75</f>
        <v>0.1799163179916318</v>
      </c>
      <c r="G75" s="181">
        <f>(Z75+R75)/P75</f>
        <v>0.29262490087232357</v>
      </c>
      <c r="H75" s="181">
        <f>(Z75/Q75)+((S75+X75+AA75)/(Q75+X75+AA75+AC75))</f>
        <v>0.54457808693357879</v>
      </c>
      <c r="I75" s="227">
        <f>V75/Z75</f>
        <v>1.6891891891891893E-2</v>
      </c>
      <c r="J75" s="181">
        <f>(AB75+AC75)/Z75</f>
        <v>9.45945945945946E-2</v>
      </c>
      <c r="K75" s="181">
        <f>Y75/P75</f>
        <v>0.16812053925455989</v>
      </c>
      <c r="L75" s="181">
        <f>(X75+AA75)/P75</f>
        <v>8.7232355273592382E-2</v>
      </c>
      <c r="M75" s="190">
        <f>(1-D75*0.7635+1-E75*0.7562+1-F75*0.75+1-G75*0.7248+1-H75*0.7021+1-I75*0.6285+J75*0.5884+K75*0.5276+1-L75*0.3663)/11.068</f>
        <v>0.54207157614090695</v>
      </c>
      <c r="N75" s="191">
        <f>M75/0.5082*100</f>
        <v>106.66500907928118</v>
      </c>
      <c r="O75" s="192">
        <f>(N75-100)/100*P75*0.6611</f>
        <v>55.562654904164241</v>
      </c>
      <c r="P75" s="197">
        <v>1261</v>
      </c>
      <c r="Q75" s="189">
        <f>P75-X75-AA75-AB75-AC75</f>
        <v>1123</v>
      </c>
      <c r="R75" s="197">
        <v>73</v>
      </c>
      <c r="S75" s="197">
        <v>239</v>
      </c>
      <c r="T75" s="197">
        <v>34</v>
      </c>
      <c r="U75" s="197">
        <v>4</v>
      </c>
      <c r="V75" s="197">
        <v>5</v>
      </c>
      <c r="W75" s="188" t="s">
        <v>19</v>
      </c>
      <c r="X75" s="197">
        <v>110</v>
      </c>
      <c r="Y75" s="197">
        <v>212</v>
      </c>
      <c r="Z75" s="188">
        <f>S75+T75+U75*2+V75*3</f>
        <v>296</v>
      </c>
      <c r="AA75" s="197">
        <v>0</v>
      </c>
      <c r="AB75" s="197">
        <v>19</v>
      </c>
      <c r="AC75" s="199">
        <v>9</v>
      </c>
      <c r="AD75" s="9"/>
      <c r="AE75" s="6">
        <v>1948</v>
      </c>
      <c r="AF75" s="77">
        <v>3.8262370540851555E-2</v>
      </c>
      <c r="AG75" s="85">
        <v>0.50076956415346874</v>
      </c>
      <c r="AH75" s="86">
        <v>0.49956325902171195</v>
      </c>
      <c r="AI75" s="76">
        <v>9.2779056386651324E-3</v>
      </c>
      <c r="AJ75" s="41">
        <v>4.0499999999999998E-3</v>
      </c>
      <c r="AK75" s="42">
        <v>1.5067606444188723E-2</v>
      </c>
      <c r="AL75" s="79">
        <v>8.1899999999999994E-3</v>
      </c>
      <c r="AM75" s="9"/>
    </row>
    <row r="76" spans="1:39" x14ac:dyDescent="0.2">
      <c r="A76" s="9"/>
      <c r="B76" s="210">
        <v>1944</v>
      </c>
      <c r="C76" s="211" t="s">
        <v>109</v>
      </c>
      <c r="D76" s="181">
        <f>(S76-V76)/(Q76-V76-Y76+AC76)</f>
        <v>0.26987447698744771</v>
      </c>
      <c r="E76" s="181">
        <f>Z76/P76</f>
        <v>0.2551181102362205</v>
      </c>
      <c r="F76" s="181">
        <f>(T76+U76+V76)/S76</f>
        <v>0.16287878787878787</v>
      </c>
      <c r="G76" s="181">
        <f>(Z76+R76)/P76</f>
        <v>0.32913385826771652</v>
      </c>
      <c r="H76" s="181">
        <f>(Z76/Q76)+((S76+X76+AA76)/(Q76+X76+AA76+AC76))</f>
        <v>0.57784100799002791</v>
      </c>
      <c r="I76" s="181">
        <f>V76/Z76</f>
        <v>1.8518518518518517E-2</v>
      </c>
      <c r="J76" s="181">
        <f>(AB76+AC76)/Z76</f>
        <v>8.9506172839506168E-2</v>
      </c>
      <c r="K76" s="181">
        <f>Y76/P76</f>
        <v>0.14724409448818898</v>
      </c>
      <c r="L76" s="181">
        <f>(X76+AA76)/P76</f>
        <v>8.1102362204724415E-2</v>
      </c>
      <c r="M76" s="190">
        <f>(1-D76*0.7635+1-E76*0.7562+1-F76*0.75+1-G76*0.7248+1-H76*0.7021+1-I76*0.6285+J76*0.5884+K76*0.5276+1-L76*0.3663)/11.068</f>
        <v>0.5352021838592681</v>
      </c>
      <c r="N76" s="191">
        <f>M76/0.5075*100</f>
        <v>105.45855839591492</v>
      </c>
      <c r="O76" s="192">
        <f>(N76-100)/100*P76*0.6611</f>
        <v>45.829892535349799</v>
      </c>
      <c r="P76" s="197">
        <v>1270</v>
      </c>
      <c r="Q76" s="189">
        <f>P76-X76-AA76-AB76-AC76</f>
        <v>1138</v>
      </c>
      <c r="R76" s="197">
        <v>94</v>
      </c>
      <c r="S76" s="197">
        <v>264</v>
      </c>
      <c r="T76" s="197">
        <v>32</v>
      </c>
      <c r="U76" s="197">
        <v>5</v>
      </c>
      <c r="V76" s="197">
        <v>6</v>
      </c>
      <c r="W76" s="188" t="s">
        <v>19</v>
      </c>
      <c r="X76" s="197">
        <v>102</v>
      </c>
      <c r="Y76" s="197">
        <v>187</v>
      </c>
      <c r="Z76" s="188">
        <f>S76+T76+U76*2+V76*3</f>
        <v>324</v>
      </c>
      <c r="AA76" s="197">
        <v>1</v>
      </c>
      <c r="AB76" s="197">
        <v>18</v>
      </c>
      <c r="AC76" s="199">
        <v>11</v>
      </c>
      <c r="AD76" s="9"/>
      <c r="AE76" s="6">
        <v>1947</v>
      </c>
      <c r="AF76" s="77">
        <v>3.7297340468013737E-2</v>
      </c>
      <c r="AG76" s="85">
        <v>0.49836495309815504</v>
      </c>
      <c r="AH76" s="86">
        <v>0.50106907391368705</v>
      </c>
      <c r="AI76" s="76">
        <v>8.8473586596739696E-3</v>
      </c>
      <c r="AJ76" s="41">
        <v>3.9300000000000003E-3</v>
      </c>
      <c r="AK76" s="42">
        <v>1.5556087994391645E-2</v>
      </c>
      <c r="AL76" s="79">
        <v>8.2400000000000008E-3</v>
      </c>
      <c r="AM76" s="9"/>
    </row>
    <row r="77" spans="1:39" x14ac:dyDescent="0.2">
      <c r="A77" s="9"/>
      <c r="B77" s="196">
        <v>1940</v>
      </c>
      <c r="C77" s="207" t="s">
        <v>214</v>
      </c>
      <c r="D77" s="180">
        <f>(S77-V77)/(Q77-V77-Y77+AC77)</f>
        <v>0.33624454148471616</v>
      </c>
      <c r="E77" s="180">
        <f>Z77/P77</f>
        <v>0.57228017883755589</v>
      </c>
      <c r="F77" s="180">
        <f>(T77+U77+V77)/S77</f>
        <v>0.50769230769230766</v>
      </c>
      <c r="G77" s="180">
        <f>(Z77+W77)/P77</f>
        <v>0.79582712369597619</v>
      </c>
      <c r="H77" s="180">
        <f>(Z77/Q77)+((S77+X77+AA77)/(Q77+X77+AA77+AC77))</f>
        <v>1.1075029203456006</v>
      </c>
      <c r="I77" s="180">
        <f>V77/Z77</f>
        <v>0.10677083333333333</v>
      </c>
      <c r="J77" s="180">
        <f>(AB77+AC77)/Z77</f>
        <v>2.0833333333333332E-2</v>
      </c>
      <c r="K77" s="180">
        <f>Y77/P77</f>
        <v>0.11177347242921014</v>
      </c>
      <c r="L77" s="180">
        <f>(X77+AA77)/P77</f>
        <v>0.14008941877794337</v>
      </c>
      <c r="M77" s="186">
        <f>(D77*0.7635+E77*0.7562+F77*0.75+G77*0.7248+H77*0.7021+I77*0.6285+1-J77*0.5884+1-K77*0.5276+L77*0.3663)/6.931</f>
        <v>0.64519314882710077</v>
      </c>
      <c r="N77" s="187">
        <f>M77/0.506*100</f>
        <v>127.50852743618593</v>
      </c>
      <c r="O77" s="283">
        <f>(N77-100)/100*P77*0.3389</f>
        <v>62.554914051908092</v>
      </c>
      <c r="P77" s="197">
        <v>671</v>
      </c>
      <c r="Q77" s="189">
        <f>P77-X77-AA77-AB77-AC77</f>
        <v>569</v>
      </c>
      <c r="R77" s="188" t="s">
        <v>19</v>
      </c>
      <c r="S77" s="197">
        <v>195</v>
      </c>
      <c r="T77" s="197">
        <v>50</v>
      </c>
      <c r="U77" s="197">
        <v>8</v>
      </c>
      <c r="V77" s="197">
        <v>41</v>
      </c>
      <c r="W77" s="197">
        <v>150</v>
      </c>
      <c r="X77" s="197">
        <v>93</v>
      </c>
      <c r="Y77" s="197">
        <v>75</v>
      </c>
      <c r="Z77" s="188">
        <f>S77+T77+U77*2+V77*3</f>
        <v>384</v>
      </c>
      <c r="AA77" s="197">
        <v>1</v>
      </c>
      <c r="AB77" s="197">
        <v>3</v>
      </c>
      <c r="AC77" s="199">
        <v>5</v>
      </c>
      <c r="AD77" s="9"/>
      <c r="AE77" s="6">
        <v>1946</v>
      </c>
      <c r="AF77" s="77">
        <v>3.6356297093649084E-2</v>
      </c>
      <c r="AG77" s="85">
        <v>0.48830487801091266</v>
      </c>
      <c r="AH77" s="86">
        <v>0.50736889144437691</v>
      </c>
      <c r="AI77" s="76">
        <v>8.5217079296734839E-3</v>
      </c>
      <c r="AJ77" s="41">
        <v>3.13E-3</v>
      </c>
      <c r="AK77" s="42">
        <v>1.6801219949766775E-2</v>
      </c>
      <c r="AL77" s="79">
        <v>7.6600000000000001E-3</v>
      </c>
      <c r="AM77" s="9"/>
    </row>
    <row r="78" spans="1:39" x14ac:dyDescent="0.2">
      <c r="A78" s="9"/>
      <c r="B78" s="196">
        <v>1935</v>
      </c>
      <c r="C78" s="207" t="s">
        <v>214</v>
      </c>
      <c r="D78" s="180">
        <f>(S78-V78)/(Q78-V78-Y78+AC78)</f>
        <v>0.33943089430894308</v>
      </c>
      <c r="E78" s="180">
        <f>Z78/P78</f>
        <v>0.54788732394366202</v>
      </c>
      <c r="F78" s="180">
        <f>(T78+U78+V78)/S78</f>
        <v>0.48275862068965519</v>
      </c>
      <c r="G78" s="180">
        <f>(Z78+W78)/P78</f>
        <v>0.78450704225352108</v>
      </c>
      <c r="H78" s="180">
        <f>(Z78/Q78)+((S78+X78+AA78)/(Q78+X78+AA78+AC78))</f>
        <v>1.0453488855718174</v>
      </c>
      <c r="I78" s="180">
        <f>V78/Z78</f>
        <v>9.2544987146529561E-2</v>
      </c>
      <c r="J78" s="180">
        <f>(AB78+AC78)/Z78</f>
        <v>2.570694087403599E-2</v>
      </c>
      <c r="K78" s="180">
        <f>Y78/P78</f>
        <v>0.12816901408450704</v>
      </c>
      <c r="L78" s="180">
        <f>(X78+AA78)/P78</f>
        <v>0.12253521126760564</v>
      </c>
      <c r="M78" s="186">
        <f>(D78*0.7635+E78*0.7562+F78*0.75+G78*0.7248+H78*0.7021+I78*0.6285+1-J78*0.5884+1-K78*0.5276+L78*0.3663)/6.931</f>
        <v>0.62882531250054674</v>
      </c>
      <c r="N78" s="187">
        <f>M78/0.5105*100</f>
        <v>123.17831782576822</v>
      </c>
      <c r="O78" s="283">
        <f>(N78-100)/100*P78*0.3389</f>
        <v>55.771436569185227</v>
      </c>
      <c r="P78" s="197">
        <v>710</v>
      </c>
      <c r="Q78" s="189">
        <f>P78-X78-AA78-AB78-AC78</f>
        <v>613</v>
      </c>
      <c r="R78" s="188" t="s">
        <v>19</v>
      </c>
      <c r="S78" s="197">
        <v>203</v>
      </c>
      <c r="T78" s="197">
        <v>46</v>
      </c>
      <c r="U78" s="197">
        <v>16</v>
      </c>
      <c r="V78" s="197">
        <v>36</v>
      </c>
      <c r="W78" s="197">
        <v>168</v>
      </c>
      <c r="X78" s="197">
        <v>87</v>
      </c>
      <c r="Y78" s="197">
        <v>91</v>
      </c>
      <c r="Z78" s="188">
        <f>S78+T78+U78*2+V78*3</f>
        <v>389</v>
      </c>
      <c r="AA78" s="197">
        <v>0</v>
      </c>
      <c r="AB78" s="197">
        <v>4</v>
      </c>
      <c r="AC78" s="199">
        <v>6</v>
      </c>
      <c r="AD78" s="9"/>
      <c r="AE78" s="6">
        <v>1945</v>
      </c>
      <c r="AF78" s="77">
        <v>3.6285990056637102E-2</v>
      </c>
      <c r="AG78" s="85">
        <v>0.48693992275290854</v>
      </c>
      <c r="AH78" s="86">
        <v>0.50822365336100384</v>
      </c>
      <c r="AI78" s="76">
        <v>8.5684107009524509E-3</v>
      </c>
      <c r="AJ78" s="41">
        <v>3.9100000000000003E-3</v>
      </c>
      <c r="AK78" s="42">
        <v>1.7610314873158384E-2</v>
      </c>
      <c r="AL78" s="79">
        <v>7.0299999999999998E-3</v>
      </c>
      <c r="AM78" s="9"/>
    </row>
    <row r="79" spans="1:39" x14ac:dyDescent="0.2">
      <c r="A79" s="9"/>
      <c r="B79" s="196">
        <v>1952</v>
      </c>
      <c r="C79" s="207" t="s">
        <v>397</v>
      </c>
      <c r="D79" s="180">
        <f>(S79-V79)/(Q79-V79-Y79+AC79)</f>
        <v>0.26484018264840181</v>
      </c>
      <c r="E79" s="180">
        <f>Z79/P79</f>
        <v>0.46379044684129428</v>
      </c>
      <c r="F79" s="180">
        <f>(T79+U79+V79)/S79</f>
        <v>0.46405228758169936</v>
      </c>
      <c r="G79" s="180">
        <f>(Z79+W79)/P79</f>
        <v>0.65023112480739598</v>
      </c>
      <c r="H79" s="180">
        <f>(Z79/Q79)+((S79+X79+AA79)/(Q79+X79+AA79+AC79))</f>
        <v>0.89669829972321069</v>
      </c>
      <c r="I79" s="180">
        <f>V79/Z79</f>
        <v>0.12292358803986711</v>
      </c>
      <c r="J79" s="180">
        <f>(AB79+AC79)/Z79</f>
        <v>1.9933554817275746E-2</v>
      </c>
      <c r="K79" s="180">
        <f>Y79/P79</f>
        <v>0.14175654853620956</v>
      </c>
      <c r="L79" s="180">
        <f>(X79+AA79)/P79</f>
        <v>0.12480739599383667</v>
      </c>
      <c r="M79" s="186">
        <f>(D79*0.7635+E79*0.7562+F79*0.75+G79*0.7248+H79*0.7021+I79*0.6285+1-J79*0.5884+1-K79*0.5276+L79*0.3663)/6.931</f>
        <v>0.58263990652275177</v>
      </c>
      <c r="N79" s="187">
        <f>M79/0.4944*100</f>
        <v>117.84787753291906</v>
      </c>
      <c r="O79" s="283">
        <f>(N79-100)/100*P79*0.3389</f>
        <v>39.255710566431681</v>
      </c>
      <c r="P79" s="197">
        <v>649</v>
      </c>
      <c r="Q79" s="189">
        <f>P79-X79-AA79-AB79-AC79</f>
        <v>562</v>
      </c>
      <c r="R79" s="188" t="s">
        <v>19</v>
      </c>
      <c r="S79" s="197">
        <v>153</v>
      </c>
      <c r="T79" s="197">
        <v>31</v>
      </c>
      <c r="U79" s="197">
        <v>3</v>
      </c>
      <c r="V79" s="197">
        <v>37</v>
      </c>
      <c r="W79" s="197">
        <v>121</v>
      </c>
      <c r="X79" s="197">
        <v>77</v>
      </c>
      <c r="Y79" s="197">
        <v>92</v>
      </c>
      <c r="Z79" s="188">
        <f>S79+T79+U79*2+V79*3</f>
        <v>301</v>
      </c>
      <c r="AA79" s="197">
        <v>4</v>
      </c>
      <c r="AB79" s="197">
        <v>1</v>
      </c>
      <c r="AC79" s="199">
        <v>5</v>
      </c>
      <c r="AD79" s="9"/>
      <c r="AE79" s="6">
        <v>1944</v>
      </c>
      <c r="AF79" s="77">
        <v>3.7804474815386312E-2</v>
      </c>
      <c r="AG79" s="85">
        <v>0.48804377967450674</v>
      </c>
      <c r="AH79" s="86">
        <v>0.50753239637477354</v>
      </c>
      <c r="AI79" s="76">
        <v>8.8908483044931857E-3</v>
      </c>
      <c r="AJ79" s="41">
        <v>3.2100000000000002E-3</v>
      </c>
      <c r="AK79" s="42">
        <v>1.8048054667695358E-2</v>
      </c>
      <c r="AL79" s="79">
        <v>8.2799999999999992E-3</v>
      </c>
      <c r="AM79" s="9"/>
    </row>
    <row r="80" spans="1:39" x14ac:dyDescent="0.2">
      <c r="A80" s="9"/>
      <c r="B80" s="196">
        <v>1969</v>
      </c>
      <c r="C80" s="207" t="s">
        <v>129</v>
      </c>
      <c r="D80" s="180">
        <f>(S80-V80)/(Q80-V80-Y80+AC80)</f>
        <v>0.24413145539906103</v>
      </c>
      <c r="E80" s="180">
        <f>Z80/P80</f>
        <v>0.45698166431593795</v>
      </c>
      <c r="F80" s="180">
        <f>(T80+U80+V80)/S80</f>
        <v>0.46405228758169936</v>
      </c>
      <c r="G80" s="180">
        <f>(Z80+W80)/P80</f>
        <v>0.65444287729196049</v>
      </c>
      <c r="H80" s="180">
        <f>(Z80/Q80)+((S80+X80+AA80)/(Q80+X80+AA80+AC80))</f>
        <v>1.0111462661533184</v>
      </c>
      <c r="I80" s="180">
        <f>V80/Z80</f>
        <v>0.15123456790123457</v>
      </c>
      <c r="J80" s="180">
        <f>(AB80+AC80)/Z80</f>
        <v>1.2345679012345678E-2</v>
      </c>
      <c r="K80" s="180">
        <f>Y80/P80</f>
        <v>0.11847672778561354</v>
      </c>
      <c r="L80" s="180">
        <f>(X80+AA80)/P80</f>
        <v>0.21156558533145275</v>
      </c>
      <c r="M80" s="186">
        <f>(D80*0.7635+E80*0.7562+F80*0.75+G80*0.7248+H80*0.7021+I80*0.6285+1-J80*0.5884+1-K80*0.5276+L80*0.3663)/6.931</f>
        <v>0.60121829289985729</v>
      </c>
      <c r="N80" s="187">
        <f>M80/0.4932*100</f>
        <v>121.90151924165799</v>
      </c>
      <c r="O80" s="283">
        <f>(N80-100)/100*P80*0.3389</f>
        <v>52.624992335375062</v>
      </c>
      <c r="P80" s="197">
        <v>709</v>
      </c>
      <c r="Q80" s="188">
        <f>P80-X80-AA80-AB80-AC80</f>
        <v>555</v>
      </c>
      <c r="R80" s="188" t="s">
        <v>19</v>
      </c>
      <c r="S80" s="197">
        <v>153</v>
      </c>
      <c r="T80" s="197">
        <v>20</v>
      </c>
      <c r="U80" s="197">
        <v>2</v>
      </c>
      <c r="V80" s="197">
        <v>49</v>
      </c>
      <c r="W80" s="197">
        <v>140</v>
      </c>
      <c r="X80" s="197">
        <v>145</v>
      </c>
      <c r="Y80" s="197">
        <v>84</v>
      </c>
      <c r="Z80" s="188">
        <f>S80+T80+U80*2+V80*3</f>
        <v>324</v>
      </c>
      <c r="AA80" s="197">
        <v>5</v>
      </c>
      <c r="AB80" s="197">
        <v>0</v>
      </c>
      <c r="AC80" s="197">
        <v>4</v>
      </c>
      <c r="AD80" s="9"/>
      <c r="AE80" s="6">
        <v>1943</v>
      </c>
      <c r="AF80" s="77">
        <v>3.5986751841721211E-2</v>
      </c>
      <c r="AG80" s="85">
        <v>0.48248697640345006</v>
      </c>
      <c r="AH80" s="86">
        <v>0.51101217623307627</v>
      </c>
      <c r="AI80" s="76">
        <v>8.9224073896059641E-3</v>
      </c>
      <c r="AJ80" s="41">
        <v>3.62E-3</v>
      </c>
      <c r="AK80" s="42">
        <v>1.6700020099448577E-2</v>
      </c>
      <c r="AL80" s="79">
        <v>7.7999999999999996E-3</v>
      </c>
      <c r="AM80" s="9"/>
    </row>
    <row r="81" spans="1:39" x14ac:dyDescent="0.2">
      <c r="A81" s="9"/>
      <c r="B81" s="196">
        <v>1957</v>
      </c>
      <c r="C81" s="207" t="s">
        <v>136</v>
      </c>
      <c r="D81" s="180">
        <f>(S81-V81)/(Q81-V81-Y81+AC81)</f>
        <v>0.29844961240310075</v>
      </c>
      <c r="E81" s="180">
        <f>Z81/P81</f>
        <v>0.54666666666666663</v>
      </c>
      <c r="F81" s="180">
        <f>(T81+U81+V81)/S81</f>
        <v>0.3888888888888889</v>
      </c>
      <c r="G81" s="180">
        <f>(Z81+W81)/P81</f>
        <v>0.74222222222222223</v>
      </c>
      <c r="H81" s="180">
        <f>(Z81/Q81)+((S81+X81+AA81)/(Q81+X81+AA81+AC81))</f>
        <v>0.97777777777777775</v>
      </c>
      <c r="I81" s="180">
        <f>V81/Z81</f>
        <v>0.11924119241192412</v>
      </c>
      <c r="J81" s="180">
        <f>(AB81+AC81)/Z81</f>
        <v>8.130081300813009E-3</v>
      </c>
      <c r="K81" s="180">
        <f>Y81/P81</f>
        <v>8.5925925925925919E-2</v>
      </c>
      <c r="L81" s="180">
        <f>(X81+AA81)/P81</f>
        <v>8.4444444444444447E-2</v>
      </c>
      <c r="M81" s="186">
        <f>(D81*0.7635+E81*0.7562+F81*0.75+G81*0.7248+H81*0.7021+I81*0.6285+1-J81*0.5884+1-K81*0.5276+L81*0.3663)/6.931</f>
        <v>0.60786893010953535</v>
      </c>
      <c r="N81" s="187">
        <f>M81/0.5044*100</f>
        <v>120.5132692524852</v>
      </c>
      <c r="O81" s="283">
        <f>(N81-100)/100*P81*0.3389</f>
        <v>46.92564191025383</v>
      </c>
      <c r="P81" s="197">
        <v>675</v>
      </c>
      <c r="Q81" s="188">
        <f>P81-X81-AA81-AB81-AC81</f>
        <v>615</v>
      </c>
      <c r="R81" s="188" t="s">
        <v>19</v>
      </c>
      <c r="S81" s="197">
        <v>198</v>
      </c>
      <c r="T81" s="197">
        <v>27</v>
      </c>
      <c r="U81" s="197">
        <v>6</v>
      </c>
      <c r="V81" s="197">
        <v>44</v>
      </c>
      <c r="W81" s="197">
        <v>132</v>
      </c>
      <c r="X81" s="197">
        <v>57</v>
      </c>
      <c r="Y81" s="197">
        <v>58</v>
      </c>
      <c r="Z81" s="188">
        <f>S81+T81+U81*2+V81*3</f>
        <v>369</v>
      </c>
      <c r="AA81" s="197">
        <v>0</v>
      </c>
      <c r="AB81" s="197">
        <v>0</v>
      </c>
      <c r="AC81" s="197">
        <v>3</v>
      </c>
      <c r="AD81" s="9"/>
      <c r="AE81" s="6">
        <v>1942</v>
      </c>
      <c r="AF81" s="77">
        <v>3.621968421531601E-2</v>
      </c>
      <c r="AG81" s="85">
        <v>0.48452081807183101</v>
      </c>
      <c r="AH81" s="86">
        <v>0.50973854444742861</v>
      </c>
      <c r="AI81" s="76">
        <v>7.8991673112799744E-3</v>
      </c>
      <c r="AJ81" s="41">
        <v>3.0899999999999999E-3</v>
      </c>
      <c r="AK81" s="42">
        <v>1.5761932929881241E-2</v>
      </c>
      <c r="AL81" s="79">
        <v>7.4400000000000004E-3</v>
      </c>
      <c r="AM81" s="9"/>
    </row>
    <row r="82" spans="1:39" x14ac:dyDescent="0.2">
      <c r="A82" s="9"/>
      <c r="B82" s="196">
        <v>2001</v>
      </c>
      <c r="C82" s="207" t="s">
        <v>356</v>
      </c>
      <c r="D82" s="180">
        <f>(S82-V82)/(Q82-V82-Y82+AC82)</f>
        <v>0.36850393700787404</v>
      </c>
      <c r="E82" s="180">
        <f>Z82/P82</f>
        <v>0.42818428184281843</v>
      </c>
      <c r="F82" s="180">
        <f>(T82+U82+V82)/S82</f>
        <v>0.20661157024793389</v>
      </c>
      <c r="G82" s="180">
        <f>(Z82+W82)/P82</f>
        <v>0.52168021680216803</v>
      </c>
      <c r="H82" s="180">
        <f>(Z82/Q82)+((S82+X82+AA82)/(Q82+X82+AA82+AC82))</f>
        <v>0.83811878848970722</v>
      </c>
      <c r="I82" s="180">
        <f>V82/Z82</f>
        <v>2.5316455696202531E-2</v>
      </c>
      <c r="J82" s="180">
        <f>(AB82+AC82)/Z82</f>
        <v>2.5316455696202531E-2</v>
      </c>
      <c r="K82" s="180">
        <f>Y82/P82</f>
        <v>7.1815718157181574E-2</v>
      </c>
      <c r="L82" s="180">
        <f>(X82+AA82)/P82</f>
        <v>5.1490514905149054E-2</v>
      </c>
      <c r="M82" s="186">
        <f>(D82*0.7635+E82*0.7562+F82*0.75+G82*0.7248+H82*0.7021+I82*0.6285+1-J82*0.5884+1-K82*0.5276+L82*0.3663)/6.931</f>
        <v>0.53508117192919946</v>
      </c>
      <c r="N82" s="187">
        <f>M82/0.5241*100</f>
        <v>102.0952436422819</v>
      </c>
      <c r="O82" s="283">
        <f>(N82-100)/100*P82*0.3389</f>
        <v>5.2403761593257006</v>
      </c>
      <c r="P82" s="197">
        <v>738</v>
      </c>
      <c r="Q82" s="188">
        <f>P82-X82-AA82-AB82-AC82</f>
        <v>692</v>
      </c>
      <c r="R82" s="188" t="s">
        <v>19</v>
      </c>
      <c r="S82" s="197">
        <v>242</v>
      </c>
      <c r="T82" s="197">
        <v>34</v>
      </c>
      <c r="U82" s="197">
        <v>8</v>
      </c>
      <c r="V82" s="197">
        <v>8</v>
      </c>
      <c r="W82" s="197">
        <v>69</v>
      </c>
      <c r="X82" s="197">
        <v>30</v>
      </c>
      <c r="Y82" s="197">
        <v>53</v>
      </c>
      <c r="Z82" s="188">
        <f>S82+T82+U82*2+V82*3</f>
        <v>316</v>
      </c>
      <c r="AA82" s="197">
        <v>8</v>
      </c>
      <c r="AB82" s="197">
        <v>4</v>
      </c>
      <c r="AC82" s="197">
        <v>4</v>
      </c>
      <c r="AD82" s="9"/>
      <c r="AE82" s="6">
        <v>1941</v>
      </c>
      <c r="AF82" s="77">
        <v>3.9972801450589304E-2</v>
      </c>
      <c r="AG82" s="85">
        <v>0.49693519069933373</v>
      </c>
      <c r="AH82" s="86">
        <v>0.50196441934070457</v>
      </c>
      <c r="AI82" s="76">
        <v>9.2747053490480503E-3</v>
      </c>
      <c r="AJ82" s="41">
        <v>2.8300000000000001E-3</v>
      </c>
      <c r="AK82" s="42">
        <v>1.5630099728014504E-2</v>
      </c>
      <c r="AL82" s="79">
        <v>8.2699999999999996E-3</v>
      </c>
      <c r="AM82" s="9"/>
    </row>
    <row r="83" spans="1:39" x14ac:dyDescent="0.2">
      <c r="A83" s="9"/>
      <c r="B83" s="196">
        <v>1999</v>
      </c>
      <c r="C83" s="207" t="s">
        <v>37</v>
      </c>
      <c r="D83" s="180">
        <f>(S83-V83)/(Q83-V83-Y83+AC83)</f>
        <v>0.32411067193675891</v>
      </c>
      <c r="E83" s="180">
        <f>Z83/P83</f>
        <v>0.53174603174603174</v>
      </c>
      <c r="F83" s="180">
        <f>(T83+U83+V83)/S83</f>
        <v>0.32663316582914576</v>
      </c>
      <c r="G83" s="180">
        <f>(Z83+W83)/P83</f>
        <v>0.71111111111111114</v>
      </c>
      <c r="H83" s="180">
        <f>(Z83/Q83)+((S83+X83+AA83)/(Q83+X83+AA83+AC83))</f>
        <v>0.91388888888888897</v>
      </c>
      <c r="I83" s="180">
        <f>V83/Z83</f>
        <v>0.1044776119402985</v>
      </c>
      <c r="J83" s="180">
        <f>(AB83+AC83)/Z83</f>
        <v>1.4925373134328358E-2</v>
      </c>
      <c r="K83" s="180">
        <f>Y83/P83</f>
        <v>0.10158730158730159</v>
      </c>
      <c r="L83" s="180">
        <f>(X83+AA83)/P83</f>
        <v>3.968253968253968E-2</v>
      </c>
      <c r="M83" s="186">
        <f>(D83*0.7635+E83*0.7562+F83*0.75+G83*0.7248+H83*0.7021+I83*0.6285+1-J83*0.5884+1-K83*0.5276+L83*0.3663)/6.931</f>
        <v>0.58713241773836944</v>
      </c>
      <c r="N83" s="187">
        <f>M83/0.5278*100</f>
        <v>111.2414584574402</v>
      </c>
      <c r="O83" s="283">
        <f>(N83-100)/100*P83*0.3389</f>
        <v>24.001300708726852</v>
      </c>
      <c r="P83" s="197">
        <v>630</v>
      </c>
      <c r="Q83" s="188">
        <f>P83-X83-AA83-AB83-AC83</f>
        <v>600</v>
      </c>
      <c r="R83" s="188" t="s">
        <v>19</v>
      </c>
      <c r="S83" s="197">
        <v>199</v>
      </c>
      <c r="T83" s="197">
        <v>29</v>
      </c>
      <c r="U83" s="197">
        <v>1</v>
      </c>
      <c r="V83" s="197">
        <v>35</v>
      </c>
      <c r="W83" s="197">
        <v>113</v>
      </c>
      <c r="X83" s="197">
        <v>24</v>
      </c>
      <c r="Y83" s="197">
        <v>64</v>
      </c>
      <c r="Z83" s="188">
        <f>S83+T83+U83*2+V83*3</f>
        <v>335</v>
      </c>
      <c r="AA83" s="197">
        <v>1</v>
      </c>
      <c r="AB83" s="197">
        <v>0</v>
      </c>
      <c r="AC83" s="197">
        <v>5</v>
      </c>
      <c r="AD83" s="9"/>
      <c r="AE83" s="6">
        <v>1940</v>
      </c>
      <c r="AF83" s="77">
        <v>4.1507740632712585E-2</v>
      </c>
      <c r="AG83" s="85">
        <v>0.50604388245422416</v>
      </c>
      <c r="AH83" s="86">
        <v>0.49626037682596436</v>
      </c>
      <c r="AI83" s="76">
        <v>9.9169845187345746E-3</v>
      </c>
      <c r="AJ83" s="41">
        <v>3.2100000000000002E-3</v>
      </c>
      <c r="AK83" s="42">
        <v>1.403634731882432E-2</v>
      </c>
      <c r="AL83" s="79">
        <v>7.1199999999999996E-3</v>
      </c>
      <c r="AM83" s="9"/>
    </row>
    <row r="84" spans="1:39" x14ac:dyDescent="0.2">
      <c r="A84" s="9"/>
      <c r="B84" s="196">
        <v>1958</v>
      </c>
      <c r="C84" s="207" t="s">
        <v>393</v>
      </c>
      <c r="D84" s="180">
        <f>(S84-V84)/(Q84-V84-Y84+AC84)</f>
        <v>0.26991150442477874</v>
      </c>
      <c r="E84" s="180">
        <f>Z84/P84</f>
        <v>0.44732824427480916</v>
      </c>
      <c r="F84" s="180">
        <f>(T84+U84+V84)/S84</f>
        <v>0.42038216560509556</v>
      </c>
      <c r="G84" s="180">
        <f>(Z84+W84)/P84</f>
        <v>0.63358778625954193</v>
      </c>
      <c r="H84" s="180">
        <f>(Z84/Q84)+((S84+X84+AA84)/(Q84+X84+AA84+AC84))</f>
        <v>0.93069599767851963</v>
      </c>
      <c r="I84" s="180">
        <f>V84/Z84</f>
        <v>0.11945392491467577</v>
      </c>
      <c r="J84" s="180">
        <f>(AB84+AC84)/Z84</f>
        <v>1.7064846416382253E-2</v>
      </c>
      <c r="K84" s="180">
        <f>Y84/P84</f>
        <v>9.9236641221374045E-2</v>
      </c>
      <c r="L84" s="180">
        <f>(X84+AA84)/P84</f>
        <v>0.15572519083969466</v>
      </c>
      <c r="M84" s="186">
        <f>(D84*0.7635+E84*0.7562+F84*0.75+G84*0.7248+H84*0.7021+I84*0.6285+1-J84*0.5884+1-K84*0.5276+L84*0.3663)/6.931</f>
        <v>0.58317998633348911</v>
      </c>
      <c r="N84" s="187">
        <f>M84/0.5062*100</f>
        <v>115.20742519428863</v>
      </c>
      <c r="O84" s="283">
        <f>(N84-100)/100*P84*0.3389</f>
        <v>33.757366409155928</v>
      </c>
      <c r="P84" s="197">
        <v>655</v>
      </c>
      <c r="Q84" s="188">
        <f>P84-X84-AA84-AB84-AC84</f>
        <v>548</v>
      </c>
      <c r="R84" s="188" t="s">
        <v>19</v>
      </c>
      <c r="S84" s="197">
        <v>157</v>
      </c>
      <c r="T84" s="197">
        <v>31</v>
      </c>
      <c r="U84" s="197">
        <v>0</v>
      </c>
      <c r="V84" s="197">
        <v>35</v>
      </c>
      <c r="W84" s="197">
        <v>122</v>
      </c>
      <c r="X84" s="197">
        <v>99</v>
      </c>
      <c r="Y84" s="197">
        <v>65</v>
      </c>
      <c r="Z84" s="188">
        <f>S84+T84+U84*2+V84*3</f>
        <v>293</v>
      </c>
      <c r="AA84" s="197">
        <v>3</v>
      </c>
      <c r="AB84" s="197">
        <v>1</v>
      </c>
      <c r="AC84" s="197">
        <v>4</v>
      </c>
      <c r="AD84" s="9"/>
      <c r="AE84" s="6">
        <v>1939</v>
      </c>
      <c r="AF84" s="77">
        <v>4.1636722552239214E-2</v>
      </c>
      <c r="AG84" s="85">
        <v>0.50531461597369087</v>
      </c>
      <c r="AH84" s="86">
        <v>0.49671705788637055</v>
      </c>
      <c r="AI84" s="76">
        <v>9.5972781937103714E-3</v>
      </c>
      <c r="AJ84" s="41">
        <v>3.2100000000000002E-3</v>
      </c>
      <c r="AK84" s="42">
        <v>2.2360293649421888E-2</v>
      </c>
      <c r="AL84" s="79">
        <v>7.7200000000000003E-3</v>
      </c>
      <c r="AM84" s="9"/>
    </row>
    <row r="85" spans="1:39" x14ac:dyDescent="0.2">
      <c r="A85" s="9"/>
      <c r="B85" s="196">
        <v>1949</v>
      </c>
      <c r="C85" s="207" t="s">
        <v>208</v>
      </c>
      <c r="D85" s="180">
        <f>(S85-V85)/(Q85-V85-Y85+AC85)</f>
        <v>0.34</v>
      </c>
      <c r="E85" s="180">
        <f>Z85/P85</f>
        <v>0.44460227272727271</v>
      </c>
      <c r="F85" s="180">
        <f>(T85+U85+V85)/S85</f>
        <v>0.3251231527093596</v>
      </c>
      <c r="G85" s="180">
        <f>(Z85+W85)/P85</f>
        <v>0.62073863636363635</v>
      </c>
      <c r="H85" s="180">
        <f>(Z85/Q85)+((S85+X85+AA85)/(Q85+X85+AA85+AC85))</f>
        <v>0.96553417197949754</v>
      </c>
      <c r="I85" s="180">
        <f>V85/Z85</f>
        <v>5.1118210862619806E-2</v>
      </c>
      <c r="J85" s="180">
        <f>(AB85+AC85)/Z85</f>
        <v>7.3482428115015971E-2</v>
      </c>
      <c r="K85" s="180">
        <f>Y85/P85</f>
        <v>3.8352272727272728E-2</v>
      </c>
      <c r="L85" s="180">
        <f>(X85+AA85)/P85</f>
        <v>0.13352272727272727</v>
      </c>
      <c r="M85" s="186">
        <f>(D85*0.7635+E85*0.7562+F85*0.75+G85*0.7248+H85*0.7021+I85*0.6285+1-J85*0.5884+1-K85*0.5276+L85*0.3663)/6.931</f>
        <v>0.57495584470998751</v>
      </c>
      <c r="N85" s="187">
        <f>M85/0.5029*100</f>
        <v>114.32806615827948</v>
      </c>
      <c r="O85" s="283">
        <f>(N85-100)/100*P85*0.3389</f>
        <v>34.184702612128056</v>
      </c>
      <c r="P85" s="197">
        <v>704</v>
      </c>
      <c r="Q85" s="189">
        <f>P85-X85-AA85-AB85-AC85</f>
        <v>587</v>
      </c>
      <c r="R85" s="188" t="s">
        <v>19</v>
      </c>
      <c r="S85" s="197">
        <v>203</v>
      </c>
      <c r="T85" s="197">
        <v>38</v>
      </c>
      <c r="U85" s="197">
        <v>12</v>
      </c>
      <c r="V85" s="197">
        <v>16</v>
      </c>
      <c r="W85" s="197">
        <v>124</v>
      </c>
      <c r="X85" s="197">
        <v>86</v>
      </c>
      <c r="Y85" s="197">
        <v>27</v>
      </c>
      <c r="Z85" s="188">
        <f>S85+T85+U85*2+V85*3</f>
        <v>313</v>
      </c>
      <c r="AA85" s="197">
        <v>8</v>
      </c>
      <c r="AB85" s="197">
        <v>17</v>
      </c>
      <c r="AC85" s="199">
        <v>6</v>
      </c>
      <c r="AD85" s="9"/>
      <c r="AE85" s="6">
        <v>1938</v>
      </c>
      <c r="AF85" s="77">
        <v>4.1315442652821145E-2</v>
      </c>
      <c r="AG85" s="85">
        <v>0.50814511246394178</v>
      </c>
      <c r="AH85" s="86">
        <v>0.49494454513122699</v>
      </c>
      <c r="AI85" s="76">
        <v>1.0392987608020732E-2</v>
      </c>
      <c r="AJ85" s="41">
        <v>3.8800000000000002E-3</v>
      </c>
      <c r="AK85" s="42">
        <v>1.5912327410067487E-2</v>
      </c>
      <c r="AL85" s="79">
        <v>7.1799999999999998E-3</v>
      </c>
      <c r="AM85" s="9"/>
    </row>
    <row r="86" spans="1:39" x14ac:dyDescent="0.2">
      <c r="A86" s="9"/>
      <c r="B86" s="196">
        <v>1913</v>
      </c>
      <c r="C86" s="207" t="s">
        <v>410</v>
      </c>
      <c r="D86" s="180">
        <f>(S86-V86)/(Q86-V86-Y86+AC86)</f>
        <v>0.37768240343347642</v>
      </c>
      <c r="E86" s="180">
        <f>Z86/P86</f>
        <v>0.37587412587412589</v>
      </c>
      <c r="F86" s="180">
        <f>(T86+U86+V86)/S86</f>
        <v>0.14606741573033707</v>
      </c>
      <c r="G86" s="180">
        <f>(Z86+W86)/P86</f>
        <v>0.46678321678321677</v>
      </c>
      <c r="H86" s="180">
        <f>(Z86/Q86)+((S86+X86+AA86)/(Q86+X86+AA86+AC86))</f>
        <v>0.831992706992707</v>
      </c>
      <c r="I86" s="180">
        <f>V86/Z86</f>
        <v>9.3023255813953487E-3</v>
      </c>
      <c r="J86" s="180">
        <f>(AB86+AC86)/Z86</f>
        <v>9.7674418604651161E-2</v>
      </c>
      <c r="K86" s="180">
        <f>Y86/P86</f>
        <v>6.9930069930069935E-2</v>
      </c>
      <c r="L86" s="180">
        <f>(X86+AA86)/P86</f>
        <v>8.2167832167832161E-2</v>
      </c>
      <c r="M86" s="186">
        <f>(D86*0.7635+E86*0.7562+F86*0.75+G86*0.7248+H86*0.7021+I86*0.6285+1-J86*0.5884+1-K86*0.5276+L86*0.3663)/6.931</f>
        <v>0.51164211537414273</v>
      </c>
      <c r="N86" s="187">
        <f>M86/0.4758*100</f>
        <v>107.53302130604092</v>
      </c>
      <c r="O86" s="283">
        <f>(N86-100)/100*P86*0.3389</f>
        <v>14.602822065930775</v>
      </c>
      <c r="P86" s="197">
        <v>572</v>
      </c>
      <c r="Q86" s="189">
        <f>P86-X86-AA86-AB86-AC86</f>
        <v>504</v>
      </c>
      <c r="R86" s="188" t="s">
        <v>19</v>
      </c>
      <c r="S86" s="197">
        <v>178</v>
      </c>
      <c r="T86" s="197">
        <v>17</v>
      </c>
      <c r="U86" s="197">
        <v>7</v>
      </c>
      <c r="V86" s="197">
        <v>2</v>
      </c>
      <c r="W86" s="197">
        <v>52</v>
      </c>
      <c r="X86" s="197">
        <v>44</v>
      </c>
      <c r="Y86" s="197">
        <v>40</v>
      </c>
      <c r="Z86" s="188">
        <f>S86+T86+U86*2+V86*3</f>
        <v>215</v>
      </c>
      <c r="AA86" s="197">
        <v>3</v>
      </c>
      <c r="AB86" s="197">
        <v>17</v>
      </c>
      <c r="AC86" s="199">
        <v>4</v>
      </c>
      <c r="AD86" s="9"/>
      <c r="AE86" s="6">
        <v>1937</v>
      </c>
      <c r="AF86" s="77">
        <v>4.3101866815755681E-2</v>
      </c>
      <c r="AG86" s="85">
        <v>0.51042055975750955</v>
      </c>
      <c r="AH86" s="86">
        <v>0.49351961513558934</v>
      </c>
      <c r="AI86" s="76">
        <v>1.1172940344011251E-2</v>
      </c>
      <c r="AJ86" s="41">
        <v>3.7000000000000002E-3</v>
      </c>
      <c r="AK86" s="42">
        <v>1.6195958872397859E-2</v>
      </c>
      <c r="AL86" s="79">
        <v>7.43E-3</v>
      </c>
      <c r="AM86" s="9"/>
    </row>
    <row r="87" spans="1:39" x14ac:dyDescent="0.2">
      <c r="A87" s="9"/>
      <c r="B87" s="196">
        <v>2000</v>
      </c>
      <c r="C87" s="207" t="s">
        <v>357</v>
      </c>
      <c r="D87" s="180">
        <f>(S87-V87)/(Q87-V87-Y87+AC87)</f>
        <v>0.33509234828496043</v>
      </c>
      <c r="E87" s="180">
        <f>Z87/P87</f>
        <v>0.49698795180722893</v>
      </c>
      <c r="F87" s="180">
        <f>(T87+U87+V87)/S87</f>
        <v>0.42941176470588233</v>
      </c>
      <c r="G87" s="180">
        <f>(Z87+W87)/P87</f>
        <v>0.70331325301204817</v>
      </c>
      <c r="H87" s="180">
        <f>(Z87/Q87)+((S87+X87+AA87)/(Q87+X87+AA87+AC87))</f>
        <v>1.1229624379872432</v>
      </c>
      <c r="I87" s="180">
        <f>V87/Z87</f>
        <v>0.13030303030303031</v>
      </c>
      <c r="J87" s="180">
        <f>(AB87+AC87)/Z87</f>
        <v>2.4242424242424242E-2</v>
      </c>
      <c r="K87" s="180">
        <f>Y87/P87</f>
        <v>0.14457831325301204</v>
      </c>
      <c r="L87" s="180">
        <f>(X87+AA87)/P87</f>
        <v>0.21987951807228914</v>
      </c>
      <c r="M87" s="186">
        <f>(D87*0.7635+E87*0.7562+F87*0.75+G87*0.7248+H87*0.7021+I87*0.6285+1-J87*0.5884+1-K87*0.5276+L87*0.3663)/6.931</f>
        <v>0.62383653954903817</v>
      </c>
      <c r="N87" s="187">
        <f>M87/0.5296*100</f>
        <v>117.7939085251205</v>
      </c>
      <c r="O87" s="283">
        <f>(N87-100)/100*P87*0.3389</f>
        <v>40.04156117844456</v>
      </c>
      <c r="P87" s="197">
        <v>664</v>
      </c>
      <c r="Q87" s="188">
        <f>P87-X87-AA87-AB87-AC87</f>
        <v>510</v>
      </c>
      <c r="R87" s="188" t="s">
        <v>19</v>
      </c>
      <c r="S87" s="197">
        <v>170</v>
      </c>
      <c r="T87" s="197">
        <v>29</v>
      </c>
      <c r="U87" s="197">
        <v>1</v>
      </c>
      <c r="V87" s="197">
        <v>43</v>
      </c>
      <c r="W87" s="197">
        <v>137</v>
      </c>
      <c r="X87" s="197">
        <v>137</v>
      </c>
      <c r="Y87" s="197">
        <v>96</v>
      </c>
      <c r="Z87" s="188">
        <f>S87+T87+U87*2+V87*3</f>
        <v>330</v>
      </c>
      <c r="AA87" s="197">
        <v>9</v>
      </c>
      <c r="AB87" s="197">
        <v>0</v>
      </c>
      <c r="AC87" s="197">
        <v>8</v>
      </c>
      <c r="AD87" s="9"/>
      <c r="AE87" s="6">
        <v>1936</v>
      </c>
      <c r="AF87" s="77">
        <v>4.4863032423861339E-2</v>
      </c>
      <c r="AG87" s="85">
        <v>0.5137591669328182</v>
      </c>
      <c r="AH87" s="86">
        <v>0.49142891344313655</v>
      </c>
      <c r="AI87" s="76">
        <v>1.0124482840322963E-2</v>
      </c>
      <c r="AJ87" s="41">
        <v>4.3499999999999997E-3</v>
      </c>
      <c r="AK87" s="42">
        <v>1.6047897643392203E-2</v>
      </c>
      <c r="AL87" s="79">
        <v>7.8399999999999997E-3</v>
      </c>
      <c r="AM87" s="9"/>
    </row>
    <row r="88" spans="1:39" x14ac:dyDescent="0.2">
      <c r="A88" s="9"/>
      <c r="B88" s="196">
        <v>1994</v>
      </c>
      <c r="C88" s="207" t="s">
        <v>35</v>
      </c>
      <c r="D88" s="180">
        <f>(S88-V88)/(Q88-V88-Y88+AC88)</f>
        <v>0.35294117647058826</v>
      </c>
      <c r="E88" s="180">
        <f>Z88/P88</f>
        <v>0.62630480167014613</v>
      </c>
      <c r="F88" s="180">
        <f>(T88+U88+V88)/S88</f>
        <v>0.49659863945578231</v>
      </c>
      <c r="G88" s="228">
        <f>(Z88+W88)/P88</f>
        <v>0.86847599164926936</v>
      </c>
      <c r="H88" s="180">
        <f>(Z88/Q88)+((S88+X88+AA88)/(Q88+X88+AA88+AC88))</f>
        <v>1.2009394572025052</v>
      </c>
      <c r="I88" s="180">
        <f>V88/Z88</f>
        <v>0.13</v>
      </c>
      <c r="J88" s="180">
        <f>(AB88+AC88)/Z88</f>
        <v>3.3333333333333333E-2</v>
      </c>
      <c r="K88" s="180">
        <f>Y88/P88</f>
        <v>0.13569937369519833</v>
      </c>
      <c r="L88" s="180">
        <f>(X88+AA88)/P88</f>
        <v>0.1440501043841336</v>
      </c>
      <c r="M88" s="186">
        <f>(D88*0.7635+E88*0.7562+F88*0.75+G88*0.7248+H88*0.7021+I88*0.6285+1-J88*0.5884+1-K88*0.5276+L88*0.3663)/6.931</f>
        <v>0.66822168241817226</v>
      </c>
      <c r="N88" s="187">
        <f>M88/0.5225*100</f>
        <v>127.88931720921958</v>
      </c>
      <c r="O88" s="283">
        <f>(N88-100)/100*P88*0.3389</f>
        <v>45.273593194559631</v>
      </c>
      <c r="P88" s="197">
        <v>479</v>
      </c>
      <c r="Q88" s="188">
        <f>P88-X88-AA88-AB88-AC88</f>
        <v>400</v>
      </c>
      <c r="R88" s="188" t="s">
        <v>19</v>
      </c>
      <c r="S88" s="197">
        <v>147</v>
      </c>
      <c r="T88" s="197">
        <v>32</v>
      </c>
      <c r="U88" s="197">
        <v>2</v>
      </c>
      <c r="V88" s="197">
        <v>39</v>
      </c>
      <c r="W88" s="197">
        <v>116</v>
      </c>
      <c r="X88" s="197">
        <v>65</v>
      </c>
      <c r="Y88" s="197">
        <v>65</v>
      </c>
      <c r="Z88" s="188">
        <f>S88+T88+U88*2+V88*3</f>
        <v>300</v>
      </c>
      <c r="AA88" s="197">
        <v>4</v>
      </c>
      <c r="AB88" s="197">
        <v>0</v>
      </c>
      <c r="AC88" s="197">
        <v>10</v>
      </c>
      <c r="AD88" s="9"/>
      <c r="AE88" s="6">
        <v>1935</v>
      </c>
      <c r="AF88" s="77">
        <v>4.4434397323446964E-2</v>
      </c>
      <c r="AG88" s="85">
        <v>0.51052297557890802</v>
      </c>
      <c r="AH88" s="86">
        <v>0.49345548032730291</v>
      </c>
      <c r="AI88" s="76">
        <v>1.0651957681526358E-2</v>
      </c>
      <c r="AJ88" s="41">
        <v>4.1200000000000004E-3</v>
      </c>
      <c r="AK88" s="42">
        <v>1.7379509901437742E-2</v>
      </c>
      <c r="AL88" s="79">
        <v>8.4600000000000005E-3</v>
      </c>
      <c r="AM88" s="9"/>
    </row>
    <row r="89" spans="1:39" x14ac:dyDescent="0.2">
      <c r="A89" s="9"/>
      <c r="B89" s="196">
        <v>1974</v>
      </c>
      <c r="C89" s="207" t="s">
        <v>379</v>
      </c>
      <c r="D89" s="180">
        <f>(S89-V89)/(Q89-V89-Y89+AC89)</f>
        <v>0.32494279176201374</v>
      </c>
      <c r="E89" s="180">
        <f>Z89/P89</f>
        <v>0.4214501510574018</v>
      </c>
      <c r="F89" s="180">
        <f>(T89+U89+V89)/S89</f>
        <v>0.3592814371257485</v>
      </c>
      <c r="G89" s="180">
        <f>(Z89+W89)/P89</f>
        <v>0.59969788519637457</v>
      </c>
      <c r="H89" s="180">
        <f>(Z89/Q89)+((S89+X89+AA89)/(Q89+X89+AA89+AC89))</f>
        <v>0.90089107507062072</v>
      </c>
      <c r="I89" s="180">
        <f>V89/Z89</f>
        <v>8.9605734767025089E-2</v>
      </c>
      <c r="J89" s="180">
        <f>(AB89+AC89)/Z89</f>
        <v>4.3010752688172046E-2</v>
      </c>
      <c r="K89" s="180">
        <f>Y89/P89</f>
        <v>0.15709969788519637</v>
      </c>
      <c r="L89" s="180">
        <f>(X89+AA89)/P89</f>
        <v>0.14501510574018128</v>
      </c>
      <c r="M89" s="186">
        <f>(D89*0.7635+E89*0.7562+F89*0.75+G89*0.7248+H89*0.7021+I89*0.6285+1-J89*0.5884+1-K89*0.5276+L89*0.3663)/6.931</f>
        <v>0.56336388178176089</v>
      </c>
      <c r="N89" s="187">
        <f>M89/0.4929*100</f>
        <v>114.29577638096184</v>
      </c>
      <c r="O89" s="283">
        <f>(N89-100)/100*P89*0.3389</f>
        <v>32.072831634662741</v>
      </c>
      <c r="P89" s="197">
        <v>662</v>
      </c>
      <c r="Q89" s="188">
        <f>P89-X89-AA89-AB89-AC89</f>
        <v>554</v>
      </c>
      <c r="R89" s="188" t="s">
        <v>19</v>
      </c>
      <c r="S89" s="197">
        <v>167</v>
      </c>
      <c r="T89" s="197">
        <v>33</v>
      </c>
      <c r="U89" s="197">
        <v>2</v>
      </c>
      <c r="V89" s="197">
        <v>25</v>
      </c>
      <c r="W89" s="197">
        <v>118</v>
      </c>
      <c r="X89" s="197">
        <v>91</v>
      </c>
      <c r="Y89" s="197">
        <v>104</v>
      </c>
      <c r="Z89" s="188">
        <f>S89+T89+U89*2+V89*3</f>
        <v>279</v>
      </c>
      <c r="AA89" s="197">
        <v>5</v>
      </c>
      <c r="AB89" s="197">
        <v>0</v>
      </c>
      <c r="AC89" s="197">
        <v>12</v>
      </c>
      <c r="AD89" s="9"/>
      <c r="AE89" s="6">
        <v>1934</v>
      </c>
      <c r="AF89" s="77">
        <v>4.4059233940258985E-2</v>
      </c>
      <c r="AG89" s="85">
        <v>0.5073805189514653</v>
      </c>
      <c r="AH89" s="86">
        <v>0.49542334867612881</v>
      </c>
      <c r="AI89" s="76">
        <v>9.3808982750039904E-3</v>
      </c>
      <c r="AJ89" s="41">
        <v>3.5999999999999999E-3</v>
      </c>
      <c r="AK89" s="42">
        <v>1.6573859314696741E-2</v>
      </c>
      <c r="AL89" s="79">
        <v>7.9000000000000008E-3</v>
      </c>
      <c r="AM89" s="9"/>
    </row>
    <row r="90" spans="1:39" x14ac:dyDescent="0.2">
      <c r="A90" s="9"/>
      <c r="B90" s="196">
        <v>2000</v>
      </c>
      <c r="C90" s="207" t="s">
        <v>358</v>
      </c>
      <c r="D90" s="180">
        <f>(S90-V90)/(Q90-V90-Y90+AC90)</f>
        <v>0.35745614035087719</v>
      </c>
      <c r="E90" s="180">
        <f>Z90/P90</f>
        <v>0.50359712230215825</v>
      </c>
      <c r="F90" s="180">
        <f>(T90+U90+V90)/S90</f>
        <v>0.41326530612244899</v>
      </c>
      <c r="G90" s="180">
        <f>(Z90+W90)/P90</f>
        <v>0.68345323741007191</v>
      </c>
      <c r="H90" s="180">
        <f>(Z90/Q90)+((S90+X90+AA90)/(Q90+X90+AA90+AC90))</f>
        <v>1.0207125611265673</v>
      </c>
      <c r="I90" s="180">
        <f>V90/Z90</f>
        <v>9.4285714285714292E-2</v>
      </c>
      <c r="J90" s="180">
        <f>(AB90+AC90)/Z90</f>
        <v>2.5714285714285714E-2</v>
      </c>
      <c r="K90" s="180">
        <f>Y90/P90</f>
        <v>0.1539568345323741</v>
      </c>
      <c r="L90" s="180">
        <f>(X90+AA90)/P90</f>
        <v>0.14244604316546763</v>
      </c>
      <c r="M90" s="186">
        <f>(D90*0.7635+E90*0.7562+F90*0.75+G90*0.7248+H90*0.7021+I90*0.6285+1-J90*0.5884+1-K90*0.5276+L90*0.3663)/6.931</f>
        <v>0.6046421479877252</v>
      </c>
      <c r="N90" s="187">
        <f>M90/0.5296*100</f>
        <v>114.16958987683634</v>
      </c>
      <c r="O90" s="283">
        <f>(N90-100)/100*P90*0.3389</f>
        <v>33.374414364355857</v>
      </c>
      <c r="P90" s="197">
        <v>695</v>
      </c>
      <c r="Q90" s="188">
        <f>P90-X90-AA90-AB90-AC90</f>
        <v>587</v>
      </c>
      <c r="R90" s="188" t="s">
        <v>19</v>
      </c>
      <c r="S90" s="197">
        <v>196</v>
      </c>
      <c r="T90" s="197">
        <v>41</v>
      </c>
      <c r="U90" s="197">
        <v>7</v>
      </c>
      <c r="V90" s="197">
        <v>33</v>
      </c>
      <c r="W90" s="197">
        <v>125</v>
      </c>
      <c r="X90" s="197">
        <v>90</v>
      </c>
      <c r="Y90" s="197">
        <v>107</v>
      </c>
      <c r="Z90" s="188">
        <f>S90+T90+U90*2+V90*3</f>
        <v>350</v>
      </c>
      <c r="AA90" s="197">
        <v>9</v>
      </c>
      <c r="AB90" s="197">
        <v>0</v>
      </c>
      <c r="AC90" s="197">
        <v>9</v>
      </c>
      <c r="AD90" s="9"/>
      <c r="AE90" s="6">
        <v>1933</v>
      </c>
      <c r="AF90" s="77">
        <v>4.142478456261698E-2</v>
      </c>
      <c r="AG90" s="85">
        <v>0.49801049150843257</v>
      </c>
      <c r="AH90" s="86">
        <v>0.50129104475560671</v>
      </c>
      <c r="AI90" s="76">
        <v>1.0812248814738102E-2</v>
      </c>
      <c r="AJ90" s="41">
        <v>4.0200000000000001E-3</v>
      </c>
      <c r="AK90" s="42">
        <v>1.8840676098089329E-2</v>
      </c>
      <c r="AL90" s="79">
        <v>8.5599999999999999E-3</v>
      </c>
      <c r="AM90" s="9"/>
    </row>
    <row r="91" spans="1:39" x14ac:dyDescent="0.2">
      <c r="A91" s="9"/>
      <c r="B91" s="196">
        <v>1928</v>
      </c>
      <c r="C91" s="207" t="s">
        <v>164</v>
      </c>
      <c r="D91" s="180">
        <f>(S91-V91)/(Q91-V91-Y91+AC91)</f>
        <v>0.31771894093686354</v>
      </c>
      <c r="E91" s="180">
        <f>Z91/P91</f>
        <v>0.5427286356821589</v>
      </c>
      <c r="F91" s="180">
        <f>(T91+U91+V91)/S91</f>
        <v>0.49732620320855614</v>
      </c>
      <c r="G91" s="180">
        <f>(Z91+W91)/P91</f>
        <v>0.74662668665667165</v>
      </c>
      <c r="H91" s="180">
        <f>(Z91/Q91)+((S91+X91+AA91)/(Q91+X91+AA91+AC91))</f>
        <v>1.0355139431496698</v>
      </c>
      <c r="I91" s="180">
        <f>V91/Z91</f>
        <v>8.5635359116022103E-2</v>
      </c>
      <c r="J91" s="180">
        <f>(AB91+AC91)/Z91</f>
        <v>6.0773480662983423E-2</v>
      </c>
      <c r="K91" s="180">
        <f>Y91/P91</f>
        <v>8.0959520239880053E-2</v>
      </c>
      <c r="L91" s="180">
        <f>(X91+AA91)/P91</f>
        <v>0.11094452773613193</v>
      </c>
      <c r="M91" s="186">
        <f>(D91*0.7635+E91*0.7562+F91*0.75+G91*0.7248+H91*0.7021+I91*0.6285+1-J91*0.5884+1-K91*0.5276+L91*0.3663)/6.931</f>
        <v>0.6218671569617954</v>
      </c>
      <c r="N91" s="187">
        <f>M91/0.5041*100</f>
        <v>123.36186410668427</v>
      </c>
      <c r="O91" s="283">
        <f>(N91-100)/100*P91*0.3389</f>
        <v>52.808629424187828</v>
      </c>
      <c r="P91" s="197">
        <v>667</v>
      </c>
      <c r="Q91" s="189">
        <f>P91-X91-AA91-AB91-AC91</f>
        <v>571</v>
      </c>
      <c r="R91" s="188" t="s">
        <v>19</v>
      </c>
      <c r="S91" s="197">
        <v>187</v>
      </c>
      <c r="T91" s="197">
        <v>42</v>
      </c>
      <c r="U91" s="197">
        <v>20</v>
      </c>
      <c r="V91" s="197">
        <v>31</v>
      </c>
      <c r="W91" s="197">
        <v>136</v>
      </c>
      <c r="X91" s="197">
        <v>71</v>
      </c>
      <c r="Y91" s="197">
        <v>54</v>
      </c>
      <c r="Z91" s="188">
        <f>S91+T91+U91*2+V91*3</f>
        <v>362</v>
      </c>
      <c r="AA91" s="197">
        <v>3</v>
      </c>
      <c r="AB91" s="197">
        <v>17</v>
      </c>
      <c r="AC91" s="199">
        <v>5</v>
      </c>
      <c r="AD91" s="9"/>
      <c r="AE91" s="6">
        <v>1932</v>
      </c>
      <c r="AF91" s="77">
        <v>4.4727946047870622E-2</v>
      </c>
      <c r="AG91" s="85">
        <v>0.50638530498260725</v>
      </c>
      <c r="AH91" s="86">
        <v>0.49604657130154933</v>
      </c>
      <c r="AI91" s="76">
        <v>1.1279664328061562E-2</v>
      </c>
      <c r="AJ91" s="41">
        <v>3.7399999999999998E-3</v>
      </c>
      <c r="AK91" s="42">
        <v>1.7344182649022374E-2</v>
      </c>
      <c r="AL91" s="79">
        <v>7.9500000000000005E-3</v>
      </c>
      <c r="AM91" s="9"/>
    </row>
    <row r="92" spans="1:39" x14ac:dyDescent="0.2">
      <c r="A92" s="9"/>
      <c r="B92" s="210">
        <v>1950</v>
      </c>
      <c r="C92" s="211" t="s">
        <v>398</v>
      </c>
      <c r="D92" s="227">
        <f>(S92-V92)/(Q92-V92-Y92+AC92)</f>
        <v>0.2068230277185501</v>
      </c>
      <c r="E92" s="181">
        <f>Z92/P92</f>
        <v>0.27363184079601988</v>
      </c>
      <c r="F92" s="181">
        <f>(T92+U92+V92)/S92</f>
        <v>0.27777777777777779</v>
      </c>
      <c r="G92" s="181">
        <f>(Z92+R92)/P92</f>
        <v>0.35820895522388058</v>
      </c>
      <c r="H92" s="181">
        <f>(Z92/Q92)+((S92+X92+AA92)/(Q92+X92+AA92+AC92))</f>
        <v>0.57977494931868923</v>
      </c>
      <c r="I92" s="181">
        <f>V92/Z92</f>
        <v>6.6666666666666666E-2</v>
      </c>
      <c r="J92" s="181">
        <f>(AB92+AC92)/Z92</f>
        <v>0.12727272727272726</v>
      </c>
      <c r="K92" s="181">
        <f>Y92/P92</f>
        <v>9.2868988391376445E-2</v>
      </c>
      <c r="L92" s="181">
        <f>(X92+AA92)/P92</f>
        <v>8.2918739635157543E-2</v>
      </c>
      <c r="M92" s="190">
        <f>(1-D92*0.7635+1-E92*0.7562+1-F92*0.75+1-G92*0.7248+1-H92*0.7021+1-I92*0.6285+J92*0.5884+K92*0.5276+1-L92*0.3663)/11.068</f>
        <v>0.52509566868493751</v>
      </c>
      <c r="N92" s="191">
        <f>M92/0.4921*100</f>
        <v>106.70507390468147</v>
      </c>
      <c r="O92" s="192">
        <f>(N92-100)/100*P92*0.6611</f>
        <v>26.729327881061067</v>
      </c>
      <c r="P92" s="197">
        <v>603</v>
      </c>
      <c r="Q92" s="189">
        <f>P92-X92-AA92-AB92-AC92</f>
        <v>532</v>
      </c>
      <c r="R92" s="197">
        <v>51</v>
      </c>
      <c r="S92" s="197">
        <v>108</v>
      </c>
      <c r="T92" s="197">
        <v>14</v>
      </c>
      <c r="U92" s="197">
        <v>5</v>
      </c>
      <c r="V92" s="197">
        <v>11</v>
      </c>
      <c r="W92" s="188" t="s">
        <v>19</v>
      </c>
      <c r="X92" s="197">
        <v>50</v>
      </c>
      <c r="Y92" s="197">
        <v>56</v>
      </c>
      <c r="Z92" s="188">
        <f>S92+T92+U92*2+V92*3</f>
        <v>165</v>
      </c>
      <c r="AA92" s="197">
        <v>0</v>
      </c>
      <c r="AB92" s="197">
        <v>17</v>
      </c>
      <c r="AC92" s="199">
        <v>4</v>
      </c>
      <c r="AD92" s="9"/>
      <c r="AE92" s="6">
        <v>1931</v>
      </c>
      <c r="AF92" s="77">
        <v>4.6168060594978008E-2</v>
      </c>
      <c r="AG92" s="85">
        <v>0.50644565340598002</v>
      </c>
      <c r="AH92" s="86">
        <v>0.49600877992800452</v>
      </c>
      <c r="AI92" s="76">
        <v>1.1058390999297422E-2</v>
      </c>
      <c r="AJ92" s="41">
        <v>4.2100000000000002E-3</v>
      </c>
      <c r="AK92" s="42">
        <v>1.5090998334985515E-2</v>
      </c>
      <c r="AL92" s="79">
        <v>7.5100000000000002E-3</v>
      </c>
      <c r="AM92" s="9"/>
    </row>
    <row r="93" spans="1:39" x14ac:dyDescent="0.2">
      <c r="A93" s="9"/>
      <c r="B93" s="196">
        <v>1978</v>
      </c>
      <c r="C93" s="207" t="s">
        <v>54</v>
      </c>
      <c r="D93" s="180">
        <f>(S93-V93)/(Q93-V93-Y93+AC93)</f>
        <v>0.32745098039215687</v>
      </c>
      <c r="E93" s="180">
        <f>Z93/P93</f>
        <v>0.5442359249329759</v>
      </c>
      <c r="F93" s="180">
        <f>(T93+U93+V93)/S93</f>
        <v>0.40375586854460094</v>
      </c>
      <c r="G93" s="180">
        <f>(Z93+W93)/P93</f>
        <v>0.73056300268096519</v>
      </c>
      <c r="H93" s="180">
        <f>(Z93/Q93)+((S93+X93+AA93)/(Q93+X93+AA93+AC93))</f>
        <v>0.97017437768282888</v>
      </c>
      <c r="I93" s="180">
        <f>V93/Z93</f>
        <v>0.11330049261083744</v>
      </c>
      <c r="J93" s="180">
        <f>(AB93+AC93)/Z93</f>
        <v>1.4778325123152709E-2</v>
      </c>
      <c r="K93" s="180">
        <f>Y93/P93</f>
        <v>0.16890080428954424</v>
      </c>
      <c r="L93" s="180">
        <f>(X93+AA93)/P93</f>
        <v>8.4450402144772119E-2</v>
      </c>
      <c r="M93" s="186">
        <f>(D93*0.7635+E93*0.7562+F93*0.75+G93*0.7248+H93*0.7021+I93*0.6285+1-J93*0.5884+1-K93*0.5276+L93*0.3663)/6.931</f>
        <v>0.60299875015904925</v>
      </c>
      <c r="N93" s="187">
        <f>M93/0.4982*100</f>
        <v>121.03547775171603</v>
      </c>
      <c r="O93" s="283">
        <f>(N93-100)/100*P93*0.3389</f>
        <v>53.181768639021954</v>
      </c>
      <c r="P93" s="197">
        <v>746</v>
      </c>
      <c r="Q93" s="188">
        <f>P93-X93-AA93-AB93-AC93</f>
        <v>677</v>
      </c>
      <c r="R93" s="188" t="s">
        <v>19</v>
      </c>
      <c r="S93" s="197">
        <v>213</v>
      </c>
      <c r="T93" s="197">
        <v>25</v>
      </c>
      <c r="U93" s="197">
        <v>15</v>
      </c>
      <c r="V93" s="197">
        <v>46</v>
      </c>
      <c r="W93" s="197">
        <v>139</v>
      </c>
      <c r="X93" s="197">
        <v>58</v>
      </c>
      <c r="Y93" s="197">
        <v>126</v>
      </c>
      <c r="Z93" s="188">
        <f>S93+T93+U93*2+V93*3</f>
        <v>406</v>
      </c>
      <c r="AA93" s="197">
        <v>5</v>
      </c>
      <c r="AB93" s="197">
        <v>1</v>
      </c>
      <c r="AC93" s="197">
        <v>5</v>
      </c>
      <c r="AD93" s="9"/>
      <c r="AE93" s="6">
        <v>1930</v>
      </c>
      <c r="AF93" s="77">
        <v>4.6682674080626818E-2</v>
      </c>
      <c r="AG93" s="85">
        <v>0.52142892560383447</v>
      </c>
      <c r="AH93" s="86">
        <v>0.48662595921935514</v>
      </c>
      <c r="AI93" s="76">
        <v>1.3589451956695732E-2</v>
      </c>
      <c r="AJ93" s="41">
        <v>3.64E-3</v>
      </c>
      <c r="AK93" s="42">
        <v>2.6445932853110914E-2</v>
      </c>
      <c r="AL93" s="79">
        <v>7.3699999999999998E-3</v>
      </c>
      <c r="AM93" s="9"/>
    </row>
    <row r="94" spans="1:39" x14ac:dyDescent="0.2">
      <c r="A94" s="9"/>
      <c r="B94" s="196">
        <v>1932</v>
      </c>
      <c r="C94" s="207" t="s">
        <v>232</v>
      </c>
      <c r="D94" s="180">
        <f>(S94-V94)/(Q94-V94-Y94+AC94)</f>
        <v>0.35879629629629628</v>
      </c>
      <c r="E94" s="180">
        <f>Z94/P94</f>
        <v>0.62393162393162394</v>
      </c>
      <c r="F94" s="180">
        <f>(T94+U94+V94)/S94</f>
        <v>0.46948356807511737</v>
      </c>
      <c r="G94" s="180">
        <f>(Z94+W94)/P94</f>
        <v>0.86467236467236464</v>
      </c>
      <c r="H94" s="180">
        <f>(Z94/Q94)+((S94+X94+AA94)/(Q94+X94+AA94+AC94))</f>
        <v>1.2238333824540721</v>
      </c>
      <c r="I94" s="180">
        <f>V94/Z94</f>
        <v>0.13242009132420091</v>
      </c>
      <c r="J94" s="180">
        <f>(AB94+AC94)/Z94</f>
        <v>1.3698630136986301E-2</v>
      </c>
      <c r="K94" s="180">
        <f>Y94/P94</f>
        <v>0.13675213675213677</v>
      </c>
      <c r="L94" s="180">
        <f>(X94+AA94)/P94</f>
        <v>0.16524216524216523</v>
      </c>
      <c r="M94" s="186">
        <f>(D94*0.7635+E94*0.7562+F94*0.75+G94*0.7248+H94*0.7021+I94*0.6285+1-J94*0.5884+1-K94*0.5276+L94*0.3663)/6.931</f>
        <v>0.67052116884051693</v>
      </c>
      <c r="N94" s="187">
        <f>M94/0.5064*100</f>
        <v>132.40939353090778</v>
      </c>
      <c r="O94" s="283">
        <f>(N94-100)/100*P94*0.3389</f>
        <v>77.104475142725008</v>
      </c>
      <c r="P94" s="197">
        <v>702</v>
      </c>
      <c r="Q94" s="189">
        <f>P94-X94-AA94-AB94-AC94</f>
        <v>580</v>
      </c>
      <c r="R94" s="188" t="s">
        <v>19</v>
      </c>
      <c r="S94" s="197">
        <v>213</v>
      </c>
      <c r="T94" s="197">
        <v>33</v>
      </c>
      <c r="U94" s="197">
        <v>9</v>
      </c>
      <c r="V94" s="197">
        <v>58</v>
      </c>
      <c r="W94" s="197">
        <v>169</v>
      </c>
      <c r="X94" s="197">
        <v>116</v>
      </c>
      <c r="Y94" s="197">
        <v>96</v>
      </c>
      <c r="Z94" s="188">
        <f>S94+T94+U94*2+V94*3</f>
        <v>438</v>
      </c>
      <c r="AA94" s="197">
        <v>0</v>
      </c>
      <c r="AB94" s="197">
        <v>0</v>
      </c>
      <c r="AC94" s="199">
        <v>6</v>
      </c>
      <c r="AD94" s="9"/>
      <c r="AE94" s="6">
        <v>1929</v>
      </c>
      <c r="AF94" s="77">
        <v>4.4959780024458607E-2</v>
      </c>
      <c r="AG94" s="85">
        <v>0.51561571548353391</v>
      </c>
      <c r="AH94" s="86">
        <v>0.49026630610621846</v>
      </c>
      <c r="AI94" s="76">
        <v>1.2221707393031576E-2</v>
      </c>
      <c r="AJ94" s="41">
        <v>4.0899999999999999E-3</v>
      </c>
      <c r="AK94" s="42">
        <v>2.91072608639509E-2</v>
      </c>
      <c r="AL94" s="79">
        <v>8.09E-3</v>
      </c>
      <c r="AM94" s="9"/>
    </row>
    <row r="95" spans="1:39" x14ac:dyDescent="0.2">
      <c r="A95" s="9"/>
      <c r="B95" s="196">
        <v>1933</v>
      </c>
      <c r="C95" s="207" t="s">
        <v>232</v>
      </c>
      <c r="D95" s="180">
        <f>(S95-V95)/(Q95-V95-Y95+AC95)</f>
        <v>0.3611111111111111</v>
      </c>
      <c r="E95" s="180">
        <f>Z95/P95</f>
        <v>0.60149253731343288</v>
      </c>
      <c r="F95" s="180">
        <f>(T95+U95+V95)/S95</f>
        <v>0.46078431372549017</v>
      </c>
      <c r="G95" s="180">
        <f>(Z95+W95)/P95</f>
        <v>0.84477611940298503</v>
      </c>
      <c r="H95" s="180">
        <f>(Z95/Q95)+((S95+X95+AA95)/(Q95+X95+AA95+AC95))</f>
        <v>1.1600121087683277</v>
      </c>
      <c r="I95" s="180">
        <f>V95/Z95</f>
        <v>0.11910669975186104</v>
      </c>
      <c r="J95" s="180">
        <f>(AB95+AC95)/Z95</f>
        <v>1.488833746898263E-2</v>
      </c>
      <c r="K95" s="180">
        <f>Y95/P95</f>
        <v>0.13880597014925372</v>
      </c>
      <c r="L95" s="180">
        <f>(X95+AA95)/P95</f>
        <v>0.14477611940298507</v>
      </c>
      <c r="M95" s="186">
        <f>(D95*0.7635+E95*0.7562+F95*0.75+G95*0.7248+H95*0.7021+I95*0.6285+1-J95*0.5884+1-K95*0.5276+L95*0.3663)/6.931</f>
        <v>0.65629478920318252</v>
      </c>
      <c r="N95" s="187">
        <f>M95/0.498*100</f>
        <v>131.78610224963506</v>
      </c>
      <c r="O95" s="283">
        <f>(N95-100)/100*P95*0.3389</f>
        <v>72.174477351088854</v>
      </c>
      <c r="P95" s="197">
        <v>670</v>
      </c>
      <c r="Q95" s="189">
        <f>P95-X95-AA95-AB95-AC95</f>
        <v>567</v>
      </c>
      <c r="R95" s="188" t="s">
        <v>19</v>
      </c>
      <c r="S95" s="197">
        <v>204</v>
      </c>
      <c r="T95" s="197">
        <v>37</v>
      </c>
      <c r="U95" s="197">
        <v>9</v>
      </c>
      <c r="V95" s="197">
        <v>48</v>
      </c>
      <c r="W95" s="197">
        <v>163</v>
      </c>
      <c r="X95" s="197">
        <v>96</v>
      </c>
      <c r="Y95" s="197">
        <v>93</v>
      </c>
      <c r="Z95" s="188">
        <f>S95+T95+U95*2+V95*3</f>
        <v>403</v>
      </c>
      <c r="AA95" s="197">
        <v>1</v>
      </c>
      <c r="AB95" s="197">
        <v>0</v>
      </c>
      <c r="AC95" s="199">
        <v>6</v>
      </c>
      <c r="AD95" s="9"/>
      <c r="AE95" s="6">
        <v>1928</v>
      </c>
      <c r="AF95" s="77">
        <v>4.2773475004800617E-2</v>
      </c>
      <c r="AG95" s="85">
        <v>0.50408747276185317</v>
      </c>
      <c r="AH95" s="86">
        <v>0.49748551918030326</v>
      </c>
      <c r="AI95" s="76">
        <v>1.1977533124239903E-2</v>
      </c>
      <c r="AJ95" s="41">
        <v>5.7800000000000004E-3</v>
      </c>
      <c r="AK95" s="42">
        <v>3.1396018690392373E-2</v>
      </c>
      <c r="AL95" s="79">
        <v>6.94E-3</v>
      </c>
      <c r="AM95" s="9"/>
    </row>
    <row r="96" spans="1:39" x14ac:dyDescent="0.2">
      <c r="A96" s="9"/>
      <c r="B96" s="196">
        <v>1938</v>
      </c>
      <c r="C96" s="207" t="s">
        <v>232</v>
      </c>
      <c r="D96" s="180">
        <f>(S96-V96)/(Q96-V96-Y96+AC96)</f>
        <v>0.33485193621867881</v>
      </c>
      <c r="E96" s="180">
        <f>Z96/P96</f>
        <v>0.58102189781021896</v>
      </c>
      <c r="F96" s="180">
        <f>(T96+U96+V96)/S96</f>
        <v>0.46700507614213199</v>
      </c>
      <c r="G96" s="180">
        <f>(Z96+W96)/P96</f>
        <v>0.8364963503649635</v>
      </c>
      <c r="H96" s="180">
        <f>(Z96/Q96)+((S96+X96+AA96)/(Q96+X96+AA96+AC96))</f>
        <v>1.1727025898078529</v>
      </c>
      <c r="I96" s="180">
        <f>V96/Z96</f>
        <v>0.12562814070351758</v>
      </c>
      <c r="J96" s="180">
        <f>(AB96+AC96)/Z96</f>
        <v>1.507537688442211E-2</v>
      </c>
      <c r="K96" s="180">
        <f>Y96/P96</f>
        <v>0.11094890510948906</v>
      </c>
      <c r="L96" s="180">
        <f>(X96+AA96)/P96</f>
        <v>0.17372262773722627</v>
      </c>
      <c r="M96" s="186">
        <f>(D96*0.7635+E96*0.7562+F96*0.75+G96*0.7248+H96*0.7021+I96*0.6285+1-J96*0.5884+1-K96*0.5276+L96*0.3663)/6.931</f>
        <v>0.65648736884432457</v>
      </c>
      <c r="N96" s="187">
        <f>M96/0.5081*100</f>
        <v>129.2043630868578</v>
      </c>
      <c r="O96" s="283">
        <f>(N96-100)/100*P96*0.3389</f>
        <v>67.796906753432339</v>
      </c>
      <c r="P96" s="197">
        <v>685</v>
      </c>
      <c r="Q96" s="189">
        <f>P96-X96-AA96-AB96-AC96</f>
        <v>560</v>
      </c>
      <c r="R96" s="188" t="s">
        <v>19</v>
      </c>
      <c r="S96" s="197">
        <v>197</v>
      </c>
      <c r="T96" s="197">
        <v>33</v>
      </c>
      <c r="U96" s="197">
        <v>9</v>
      </c>
      <c r="V96" s="197">
        <v>50</v>
      </c>
      <c r="W96" s="197">
        <v>175</v>
      </c>
      <c r="X96" s="197">
        <v>119</v>
      </c>
      <c r="Y96" s="197">
        <v>76</v>
      </c>
      <c r="Z96" s="188">
        <f>S96+T96+U96*2+V96*3</f>
        <v>398</v>
      </c>
      <c r="AA96" s="197">
        <v>0</v>
      </c>
      <c r="AB96" s="197">
        <v>1</v>
      </c>
      <c r="AC96" s="199">
        <v>5</v>
      </c>
      <c r="AD96" s="9"/>
      <c r="AE96" s="6">
        <v>1927</v>
      </c>
      <c r="AF96" s="77">
        <v>4.1507910288881546E-2</v>
      </c>
      <c r="AG96" s="85">
        <v>0.50208094711236639</v>
      </c>
      <c r="AH96" s="86">
        <v>0.49874204513590426</v>
      </c>
      <c r="AI96" s="76">
        <v>1.2348126124141981E-2</v>
      </c>
      <c r="AJ96" s="41">
        <v>4.5500000000000002E-3</v>
      </c>
      <c r="AK96" s="42">
        <v>3.2735014499137391E-2</v>
      </c>
      <c r="AL96" s="79">
        <v>7.0600000000000003E-3</v>
      </c>
      <c r="AM96" s="9"/>
    </row>
    <row r="97" spans="1:39" x14ac:dyDescent="0.2">
      <c r="A97" s="9"/>
      <c r="B97" s="196">
        <v>2007</v>
      </c>
      <c r="C97" s="207" t="s">
        <v>351</v>
      </c>
      <c r="D97" s="180">
        <f>(S97-V97)/(Q97-V97-Y97+AC97)</f>
        <v>0.29983525535420097</v>
      </c>
      <c r="E97" s="180">
        <f>Z97/P97</f>
        <v>0.4884318766066838</v>
      </c>
      <c r="F97" s="180">
        <f>(T97+U97+V97)/S97</f>
        <v>0.41509433962264153</v>
      </c>
      <c r="G97" s="180">
        <f>(Z97+W97)/P97</f>
        <v>0.60925449871465298</v>
      </c>
      <c r="H97" s="180">
        <f>(Z97/Q97)+((S97+X97+AA97)/(Q97+X97+AA97+AC97))</f>
        <v>0.87519926469532261</v>
      </c>
      <c r="I97" s="180">
        <f>V97/Z97</f>
        <v>7.8947368421052627E-2</v>
      </c>
      <c r="J97" s="180">
        <f>(AB97+AC97)/Z97</f>
        <v>1.5789473684210527E-2</v>
      </c>
      <c r="K97" s="180">
        <f>Y97/P97</f>
        <v>0.10925449871465295</v>
      </c>
      <c r="L97" s="180">
        <f>(X97+AA97)/P97</f>
        <v>7.1979434447300775E-2</v>
      </c>
      <c r="M97" s="186">
        <f>(D97*0.7635+E97*0.7562+F97*0.75+G97*0.7248+H97*0.7021+I97*0.6285+1-J97*0.5884+1-K97*0.5276+L97*0.3663)/6.931</f>
        <v>0.57346898134957303</v>
      </c>
      <c r="N97" s="187">
        <f>M97/0.5225*100</f>
        <v>109.75482896642548</v>
      </c>
      <c r="O97" s="283">
        <f>(N97-100)/100*P97*0.3389</f>
        <v>25.719991755694007</v>
      </c>
      <c r="P97" s="197">
        <v>778</v>
      </c>
      <c r="Q97" s="188">
        <f>P97-X97-AA97-AB97-AC97</f>
        <v>716</v>
      </c>
      <c r="R97" s="188" t="s">
        <v>19</v>
      </c>
      <c r="S97" s="197">
        <v>212</v>
      </c>
      <c r="T97" s="197">
        <v>38</v>
      </c>
      <c r="U97" s="197">
        <v>20</v>
      </c>
      <c r="V97" s="197">
        <v>30</v>
      </c>
      <c r="W97" s="197">
        <v>94</v>
      </c>
      <c r="X97" s="197">
        <v>49</v>
      </c>
      <c r="Y97" s="197">
        <v>85</v>
      </c>
      <c r="Z97" s="188">
        <f>S97+T97+U97*2+V97*3</f>
        <v>380</v>
      </c>
      <c r="AA97" s="197">
        <v>7</v>
      </c>
      <c r="AB97" s="197">
        <v>0</v>
      </c>
      <c r="AC97" s="197">
        <v>6</v>
      </c>
      <c r="AD97" s="9"/>
      <c r="AE97" s="6">
        <v>1926</v>
      </c>
      <c r="AF97" s="77">
        <v>4.199722860927959E-2</v>
      </c>
      <c r="AG97" s="85">
        <v>0.50117310996833053</v>
      </c>
      <c r="AH97" s="86">
        <v>0.49931055066945251</v>
      </c>
      <c r="AI97" s="76">
        <v>1.2280915472583028E-2</v>
      </c>
      <c r="AJ97" s="41">
        <v>6.4900000000000001E-3</v>
      </c>
      <c r="AK97" s="42">
        <v>3.3172937826437848E-2</v>
      </c>
      <c r="AL97" s="79">
        <v>7.1000000000000004E-3</v>
      </c>
      <c r="AM97" s="9"/>
    </row>
    <row r="98" spans="1:39" x14ac:dyDescent="0.2">
      <c r="A98" s="9"/>
      <c r="B98" s="196">
        <v>1941</v>
      </c>
      <c r="C98" s="207" t="s">
        <v>216</v>
      </c>
      <c r="D98" s="180">
        <f>(S98-V98)/(Q98-V98-Y98+AC98)</f>
        <v>0.32665330661322645</v>
      </c>
      <c r="E98" s="180">
        <f>Z98/P98</f>
        <v>0.55948553054662375</v>
      </c>
      <c r="F98" s="180">
        <f>(T98+U98+V98)/S98</f>
        <v>0.43523316062176165</v>
      </c>
      <c r="G98" s="180">
        <f>(Z98+W98)/P98</f>
        <v>0.76045016077170413</v>
      </c>
      <c r="H98" s="180">
        <f>(Z98/Q98)+((S98+X98+AA98)/(Q98+X98+AA98+AC98))</f>
        <v>1.0869514451490057</v>
      </c>
      <c r="I98" s="180">
        <f>V98/Z98</f>
        <v>8.6206896551724144E-2</v>
      </c>
      <c r="J98" s="180">
        <f>(AB98+AC98)/Z98</f>
        <v>1.4367816091954023E-2</v>
      </c>
      <c r="K98" s="180">
        <f>Y98/P98</f>
        <v>2.0900321543408359E-2</v>
      </c>
      <c r="L98" s="180">
        <f>(X98+AA98)/P98</f>
        <v>0.12861736334405144</v>
      </c>
      <c r="M98" s="186">
        <f>(D98*0.7635+E98*0.7562+F98*0.75+G98*0.7248+H98*0.7021+I98*0.6285+1-J98*0.5884+1-K98*0.5276+L98*0.3663)/6.931</f>
        <v>0.63411384453501674</v>
      </c>
      <c r="N98" s="187">
        <f>M98/0.4969*100</f>
        <v>127.61397555544711</v>
      </c>
      <c r="O98" s="283">
        <f>(N98-100)/100*P98*0.3389</f>
        <v>58.209100683909185</v>
      </c>
      <c r="P98" s="197">
        <v>622</v>
      </c>
      <c r="Q98" s="189">
        <f>P98-X98-AA98-AB98-AC98</f>
        <v>537</v>
      </c>
      <c r="R98" s="188" t="s">
        <v>19</v>
      </c>
      <c r="S98" s="197">
        <v>193</v>
      </c>
      <c r="T98" s="197">
        <v>43</v>
      </c>
      <c r="U98" s="197">
        <v>11</v>
      </c>
      <c r="V98" s="197">
        <v>30</v>
      </c>
      <c r="W98" s="197">
        <v>125</v>
      </c>
      <c r="X98" s="197">
        <v>76</v>
      </c>
      <c r="Y98" s="197">
        <v>13</v>
      </c>
      <c r="Z98" s="188">
        <f>S98+T98+U98*2+V98*3</f>
        <v>348</v>
      </c>
      <c r="AA98" s="197">
        <v>4</v>
      </c>
      <c r="AB98" s="197">
        <v>0</v>
      </c>
      <c r="AC98" s="199">
        <v>5</v>
      </c>
      <c r="AD98" s="9"/>
      <c r="AE98" s="6">
        <v>1925</v>
      </c>
      <c r="AF98" s="77">
        <v>4.2740124190778175E-2</v>
      </c>
      <c r="AG98" s="85">
        <v>0.51077148304846776</v>
      </c>
      <c r="AH98" s="86">
        <v>0.49329986004617543</v>
      </c>
      <c r="AI98" s="76">
        <v>1.2338339131838934E-2</v>
      </c>
      <c r="AJ98" s="41">
        <v>3.63E-3</v>
      </c>
      <c r="AK98" s="42">
        <v>2.8625533976306867E-2</v>
      </c>
      <c r="AL98" s="79">
        <v>8.7100000000000007E-3</v>
      </c>
      <c r="AM98" s="9"/>
    </row>
    <row r="99" spans="1:39" x14ac:dyDescent="0.2">
      <c r="A99" s="9"/>
      <c r="B99" s="196">
        <v>1939</v>
      </c>
      <c r="C99" s="207" t="s">
        <v>216</v>
      </c>
      <c r="D99" s="180">
        <f>(S99-V99)/(Q99-V99-Y99+AC99)</f>
        <v>0.35436893203883496</v>
      </c>
      <c r="E99" s="180">
        <f>Z99/P99</f>
        <v>0.59160305343511455</v>
      </c>
      <c r="F99" s="180">
        <f>(T99+U99+V99)/S99</f>
        <v>0.38636363636363635</v>
      </c>
      <c r="G99" s="180">
        <f>(Z99+W99)/P99</f>
        <v>0.83206106870229013</v>
      </c>
      <c r="H99" s="180">
        <f>(Z99/Q99)+((S99+X99+AA99)/(Q99+X99+AA99+AC99))</f>
        <v>1.1247323430729543</v>
      </c>
      <c r="I99" s="180">
        <f>V99/Z99</f>
        <v>9.6774193548387094E-2</v>
      </c>
      <c r="J99" s="180">
        <f>(AB99+AC99)/Z99</f>
        <v>3.2258064516129031E-2</v>
      </c>
      <c r="K99" s="180">
        <f>Y99/P99</f>
        <v>3.8167938931297711E-2</v>
      </c>
      <c r="L99" s="180">
        <f>(X99+AA99)/P99</f>
        <v>0.10687022900763359</v>
      </c>
      <c r="M99" s="186">
        <f>(D99*0.7635+E99*0.7562+F99*0.75+G99*0.7248+H99*0.7021+I99*0.6285+1-J99*0.5884+1-K99*0.5276+L99*0.3663)/6.931</f>
        <v>0.64367438643026498</v>
      </c>
      <c r="N99" s="187">
        <f>M99/0.5053*100</f>
        <v>127.38460052053533</v>
      </c>
      <c r="O99" s="283">
        <f>(N99-100)/100*P99*0.3389</f>
        <v>48.63055944998537</v>
      </c>
      <c r="P99" s="197">
        <v>524</v>
      </c>
      <c r="Q99" s="189">
        <f>P99-X99-AA99-AB99-AC99</f>
        <v>458</v>
      </c>
      <c r="R99" s="188" t="s">
        <v>19</v>
      </c>
      <c r="S99" s="197">
        <v>176</v>
      </c>
      <c r="T99" s="197">
        <v>32</v>
      </c>
      <c r="U99" s="197">
        <v>6</v>
      </c>
      <c r="V99" s="197">
        <v>30</v>
      </c>
      <c r="W99" s="197">
        <v>126</v>
      </c>
      <c r="X99" s="197">
        <v>52</v>
      </c>
      <c r="Y99" s="197">
        <v>20</v>
      </c>
      <c r="Z99" s="188">
        <f>S99+T99+U99*2+V99*3</f>
        <v>310</v>
      </c>
      <c r="AA99" s="197">
        <v>4</v>
      </c>
      <c r="AB99" s="197">
        <v>6</v>
      </c>
      <c r="AC99" s="199">
        <v>4</v>
      </c>
      <c r="AD99" s="9"/>
      <c r="AE99" s="6">
        <v>1924</v>
      </c>
      <c r="AF99" s="77">
        <v>4.0543093091958624E-2</v>
      </c>
      <c r="AG99" s="85">
        <v>0.50040853483148517</v>
      </c>
      <c r="AH99" s="86">
        <v>0.49978934270717174</v>
      </c>
      <c r="AI99" s="76">
        <v>1.2345772290767871E-2</v>
      </c>
      <c r="AJ99" s="41">
        <v>5.7299999999999999E-3</v>
      </c>
      <c r="AK99" s="42">
        <v>2.8831987185783472E-2</v>
      </c>
      <c r="AL99" s="79">
        <v>7.9799999999999992E-3</v>
      </c>
      <c r="AM99" s="9"/>
    </row>
    <row r="100" spans="1:39" x14ac:dyDescent="0.2">
      <c r="A100" s="9"/>
      <c r="B100" s="196">
        <v>1947</v>
      </c>
      <c r="C100" s="207" t="s">
        <v>216</v>
      </c>
      <c r="D100" s="180">
        <f>(S100-V100)/(Q100-V100-Y100+AC100)</f>
        <v>0.30705394190871371</v>
      </c>
      <c r="E100" s="180">
        <f>Z100/P100</f>
        <v>0.46422628951747086</v>
      </c>
      <c r="F100" s="180">
        <f>(T100+U100+V100)/S100</f>
        <v>0.36309523809523808</v>
      </c>
      <c r="G100" s="180">
        <f>(Z100+W100)/P100</f>
        <v>0.62562396006655574</v>
      </c>
      <c r="H100" s="180">
        <f>(Z100/Q100)+((S100+X100+AA100)/(Q100+X100+AA100+AC100))</f>
        <v>0.91842518298110587</v>
      </c>
      <c r="I100" s="180">
        <f>V100/Z100</f>
        <v>7.1684587813620068E-2</v>
      </c>
      <c r="J100" s="180">
        <f>(AB100+AC100)/Z100</f>
        <v>1.7921146953405017E-2</v>
      </c>
      <c r="K100" s="180">
        <f>Y100/P100</f>
        <v>5.3244592346089852E-2</v>
      </c>
      <c r="L100" s="180">
        <f>(X100+AA100)/P100</f>
        <v>0.11148086522462562</v>
      </c>
      <c r="M100" s="186">
        <f>(D100*0.7635+E100*0.7562+F100*0.75+G100*0.7248+H100*0.7021+I100*0.6285+1-J100*0.5884+1-K100*0.5276+L100*0.3663)/6.931</f>
        <v>0.57759863730523398</v>
      </c>
      <c r="N100" s="187">
        <f>M100/0.4984*100</f>
        <v>115.89057730843378</v>
      </c>
      <c r="O100" s="283">
        <f>(N100-100)/100*P100*0.3389</f>
        <v>32.365753065467516</v>
      </c>
      <c r="P100" s="197">
        <v>601</v>
      </c>
      <c r="Q100" s="189">
        <f>P100-X100-AA100-AB100-AC100</f>
        <v>529</v>
      </c>
      <c r="R100" s="188" t="s">
        <v>19</v>
      </c>
      <c r="S100" s="197">
        <v>168</v>
      </c>
      <c r="T100" s="197">
        <v>31</v>
      </c>
      <c r="U100" s="197">
        <v>10</v>
      </c>
      <c r="V100" s="197">
        <v>20</v>
      </c>
      <c r="W100" s="197">
        <v>97</v>
      </c>
      <c r="X100" s="197">
        <v>64</v>
      </c>
      <c r="Y100" s="197">
        <v>32</v>
      </c>
      <c r="Z100" s="188">
        <f>S100+T100+U100*2+V100*3</f>
        <v>279</v>
      </c>
      <c r="AA100" s="197">
        <v>3</v>
      </c>
      <c r="AB100" s="197">
        <v>0</v>
      </c>
      <c r="AC100" s="199">
        <v>5</v>
      </c>
      <c r="AD100" s="9"/>
      <c r="AE100" s="6">
        <v>1923</v>
      </c>
      <c r="AF100" s="77">
        <v>3.9757617350480008E-2</v>
      </c>
      <c r="AG100" s="85">
        <v>0.50156557710401561</v>
      </c>
      <c r="AH100" s="86">
        <v>0.4990647800047045</v>
      </c>
      <c r="AI100" s="76">
        <v>1.2002152432794965E-2</v>
      </c>
      <c r="AJ100" s="41">
        <v>6.3699999999999998E-3</v>
      </c>
      <c r="AK100" s="42">
        <v>2.9783118999898616E-2</v>
      </c>
      <c r="AL100" s="79">
        <v>8.4600000000000005E-3</v>
      </c>
      <c r="AM100" s="9"/>
    </row>
    <row r="101" spans="1:39" x14ac:dyDescent="0.2">
      <c r="A101" s="9"/>
      <c r="B101" s="196">
        <v>1942</v>
      </c>
      <c r="C101" s="207" t="s">
        <v>55</v>
      </c>
      <c r="D101" s="180">
        <f>(S101-V101)/(Q101-V101-Y101+AC101)</f>
        <v>0.36470588235294116</v>
      </c>
      <c r="E101" s="180">
        <f>Z101/P101</f>
        <v>0.4224</v>
      </c>
      <c r="F101" s="180">
        <f>(T101+U101+V101)/S101</f>
        <v>0.2947976878612717</v>
      </c>
      <c r="G101" s="180">
        <f>(Z101+W101)/P101</f>
        <v>0.58720000000000006</v>
      </c>
      <c r="H101" s="180">
        <f>(Z101/Q101)+((S101+X101+AA101)/(Q101+X101+AA101+AC101))</f>
        <v>0.90469468174890855</v>
      </c>
      <c r="I101" s="180">
        <f>V101/Z101</f>
        <v>6.8181818181818177E-2</v>
      </c>
      <c r="J101" s="180">
        <f>(AB101+AC101)/Z101</f>
        <v>4.5454545454545456E-2</v>
      </c>
      <c r="K101" s="180">
        <f>Y101/P101</f>
        <v>0.152</v>
      </c>
      <c r="L101" s="180">
        <f>(X101+AA101)/P101</f>
        <v>0.128</v>
      </c>
      <c r="M101" s="186">
        <f>(D101*0.7635+E101*0.7562+F101*0.75+G101*0.7248+H101*0.7021+I101*0.6285+1-J101*0.5884+1-K101*0.5276+L101*0.3663)/6.931</f>
        <v>0.55728708718946052</v>
      </c>
      <c r="N101" s="187">
        <f>M101/0.4845*100</f>
        <v>115.02313461082775</v>
      </c>
      <c r="O101" s="283">
        <f>(N101-100)/100*P101*0.3389</f>
        <v>31.820876997559534</v>
      </c>
      <c r="P101" s="197">
        <v>625</v>
      </c>
      <c r="Q101" s="189">
        <f>P101-X101-AA101-AB101-AC101</f>
        <v>533</v>
      </c>
      <c r="R101" s="188" t="s">
        <v>19</v>
      </c>
      <c r="S101" s="197">
        <v>173</v>
      </c>
      <c r="T101" s="197">
        <v>29</v>
      </c>
      <c r="U101" s="197">
        <v>4</v>
      </c>
      <c r="V101" s="197">
        <v>18</v>
      </c>
      <c r="W101" s="197">
        <v>103</v>
      </c>
      <c r="X101" s="197">
        <v>79</v>
      </c>
      <c r="Y101" s="197">
        <v>95</v>
      </c>
      <c r="Z101" s="188">
        <f>S101+T101+U101*2+V101*3</f>
        <v>264</v>
      </c>
      <c r="AA101" s="197">
        <v>1</v>
      </c>
      <c r="AB101" s="197">
        <v>7</v>
      </c>
      <c r="AC101" s="199">
        <v>5</v>
      </c>
      <c r="AD101" s="9"/>
      <c r="AE101" s="6">
        <v>1922</v>
      </c>
      <c r="AF101" s="77">
        <v>4.0465025566230529E-2</v>
      </c>
      <c r="AG101" s="85">
        <v>0.5042815418668759</v>
      </c>
      <c r="AH101" s="86">
        <v>0.49736398927725717</v>
      </c>
      <c r="AI101" s="76">
        <v>1.2982387707858117E-2</v>
      </c>
      <c r="AJ101" s="41">
        <v>6.4999999999999997E-3</v>
      </c>
      <c r="AK101" s="42">
        <v>3.13324118749417E-2</v>
      </c>
      <c r="AL101" s="79">
        <v>8.4600000000000005E-3</v>
      </c>
      <c r="AM101" s="9"/>
    </row>
    <row r="102" spans="1:39" x14ac:dyDescent="0.2">
      <c r="A102" s="9"/>
      <c r="B102" s="196">
        <v>2009</v>
      </c>
      <c r="C102" s="207" t="s">
        <v>347</v>
      </c>
      <c r="D102" s="180">
        <f>(S102-V102)/(Q102-V102-Y102+AC102)</f>
        <v>0.37299771167048057</v>
      </c>
      <c r="E102" s="180">
        <f>Z102/P102</f>
        <v>0.50660066006600657</v>
      </c>
      <c r="F102" s="180">
        <f>(T102+U102+V102)/S102</f>
        <v>0.30890052356020942</v>
      </c>
      <c r="G102" s="180">
        <f>(Z102+W102)/P102</f>
        <v>0.66501650165016502</v>
      </c>
      <c r="H102" s="180">
        <f>(Z102/Q102)+((S102+X102+AA102)/(Q102+X102+AA102+AC102))</f>
        <v>1.0308924773930548</v>
      </c>
      <c r="I102" s="180">
        <f>V102/Z102</f>
        <v>9.1205211726384364E-2</v>
      </c>
      <c r="J102" s="180">
        <f>(AB102+AC102)/Z102</f>
        <v>1.6286644951140065E-2</v>
      </c>
      <c r="K102" s="180">
        <f>Y102/P102</f>
        <v>0.10396039603960396</v>
      </c>
      <c r="L102" s="180">
        <f>(X102+AA102)/P102</f>
        <v>0.12871287128712872</v>
      </c>
      <c r="M102" s="186">
        <f>(D102*0.7635+E102*0.7562+F102*0.75+G102*0.7248+H102*0.7021+I102*0.6285+1-J102*0.5884+1-K102*0.5276+L102*0.3663)/6.931</f>
        <v>0.59809285340195484</v>
      </c>
      <c r="N102" s="187">
        <f>M102/0.5197*100</f>
        <v>115.08425118375116</v>
      </c>
      <c r="O102" s="283">
        <f>(N102-100)/100*P102*0.3389</f>
        <v>30.979039520610009</v>
      </c>
      <c r="P102" s="197">
        <v>606</v>
      </c>
      <c r="Q102" s="188">
        <f>P102-X102-AA102-AB102-AC102</f>
        <v>523</v>
      </c>
      <c r="R102" s="188" t="s">
        <v>19</v>
      </c>
      <c r="S102" s="197">
        <v>191</v>
      </c>
      <c r="T102" s="197">
        <v>30</v>
      </c>
      <c r="U102" s="197">
        <v>1</v>
      </c>
      <c r="V102" s="197">
        <v>28</v>
      </c>
      <c r="W102" s="197">
        <v>96</v>
      </c>
      <c r="X102" s="197">
        <v>76</v>
      </c>
      <c r="Y102" s="197">
        <v>63</v>
      </c>
      <c r="Z102" s="188">
        <f>S102+T102+U102*2+V102*3</f>
        <v>307</v>
      </c>
      <c r="AA102" s="197">
        <v>2</v>
      </c>
      <c r="AB102" s="197">
        <v>0</v>
      </c>
      <c r="AC102" s="197">
        <v>5</v>
      </c>
      <c r="AD102" s="9"/>
      <c r="AE102" s="6">
        <v>1921</v>
      </c>
      <c r="AF102" s="77">
        <v>3.9492906133161663E-2</v>
      </c>
      <c r="AG102" s="85">
        <v>0.50123749673422657</v>
      </c>
      <c r="AH102" s="86">
        <v>0.49927023040613266</v>
      </c>
      <c r="AI102" s="76">
        <v>1.4121705829433564E-2</v>
      </c>
      <c r="AJ102" s="41">
        <v>6.8500000000000002E-3</v>
      </c>
      <c r="AK102" s="42">
        <v>3.1850182814602057E-2</v>
      </c>
      <c r="AL102" s="79">
        <v>7.7299999999999999E-3</v>
      </c>
      <c r="AM102" s="9"/>
    </row>
    <row r="103" spans="1:39" x14ac:dyDescent="0.2">
      <c r="A103" s="9"/>
      <c r="B103" s="196">
        <v>1937</v>
      </c>
      <c r="C103" s="207" t="s">
        <v>191</v>
      </c>
      <c r="D103" s="180">
        <f>(S103-V103)/(Q103-V103-Y103+AC103)</f>
        <v>0.37318840579710144</v>
      </c>
      <c r="E103" s="180">
        <f>Z103/P103</f>
        <v>0.59970457902511076</v>
      </c>
      <c r="F103" s="180">
        <f>(T103+U103+V103)/S103</f>
        <v>0.40928270042194093</v>
      </c>
      <c r="G103" s="180">
        <f>(Z103+W103)/P103</f>
        <v>0.82717872968980799</v>
      </c>
      <c r="H103" s="180">
        <f>(Z103/Q103)+((S103+X103+AA103)/(Q103+X103+AA103+AC103))</f>
        <v>1.060697998718577</v>
      </c>
      <c r="I103" s="180">
        <f>V103/Z103</f>
        <v>7.6354679802955669E-2</v>
      </c>
      <c r="J103" s="180">
        <f>(AB103+AC103)/Z103</f>
        <v>1.4778325123152709E-2</v>
      </c>
      <c r="K103" s="180">
        <f>Y103/P103</f>
        <v>7.3855243722304287E-2</v>
      </c>
      <c r="L103" s="180">
        <f>(X103+AA103)/P103</f>
        <v>6.3515509601181686E-2</v>
      </c>
      <c r="M103" s="186">
        <f>(D103*0.7635+E103*0.7562+F103*0.75+G103*0.7248+H103*0.7021+I103*0.6285+1-J103*0.5884+1-K103*0.5276+L103*0.3663)/6.931</f>
        <v>0.63673874452655266</v>
      </c>
      <c r="N103" s="187">
        <f>M103/0.5104*100</f>
        <v>124.75288881789825</v>
      </c>
      <c r="O103" s="283">
        <f>(N103-100)/100*P103*0.3389</f>
        <v>56.791864718011304</v>
      </c>
      <c r="P103" s="197">
        <v>677</v>
      </c>
      <c r="Q103" s="189">
        <f>P103-X103-AA103-AB103-AC103</f>
        <v>628</v>
      </c>
      <c r="R103" s="188" t="s">
        <v>19</v>
      </c>
      <c r="S103" s="197">
        <v>237</v>
      </c>
      <c r="T103" s="197">
        <v>56</v>
      </c>
      <c r="U103" s="197">
        <v>10</v>
      </c>
      <c r="V103" s="197">
        <v>31</v>
      </c>
      <c r="W103" s="197">
        <v>154</v>
      </c>
      <c r="X103" s="197">
        <v>41</v>
      </c>
      <c r="Y103" s="197">
        <v>50</v>
      </c>
      <c r="Z103" s="188">
        <f>S103+T103+U103*2+V103*3</f>
        <v>406</v>
      </c>
      <c r="AA103" s="197">
        <v>2</v>
      </c>
      <c r="AB103" s="197">
        <v>1</v>
      </c>
      <c r="AC103" s="199">
        <v>5</v>
      </c>
      <c r="AD103" s="9"/>
      <c r="AE103" s="6">
        <v>1920</v>
      </c>
      <c r="AF103" s="77">
        <v>3.6824862914104521E-2</v>
      </c>
      <c r="AG103" s="85">
        <v>0.48525415070272954</v>
      </c>
      <c r="AH103" s="86">
        <v>0.509279317083428</v>
      </c>
      <c r="AI103" s="76">
        <v>1.278884392354724E-2</v>
      </c>
      <c r="AJ103" s="41">
        <v>6.3200000000000001E-3</v>
      </c>
      <c r="AK103" s="42">
        <v>3.2707906308579039E-2</v>
      </c>
      <c r="AL103" s="79">
        <v>7.8799999999999999E-3</v>
      </c>
      <c r="AM103" s="9"/>
    </row>
    <row r="104" spans="1:39" x14ac:dyDescent="0.2">
      <c r="A104" s="9"/>
      <c r="B104" s="196">
        <v>1976</v>
      </c>
      <c r="C104" s="207" t="s">
        <v>114</v>
      </c>
      <c r="D104" s="180">
        <f>(S104-V104)/(Q104-V104-Y104+AC104)</f>
        <v>0.29807692307692307</v>
      </c>
      <c r="E104" s="180">
        <f>Z104/P104</f>
        <v>0.45409015025041738</v>
      </c>
      <c r="F104" s="180">
        <f>(T104+U104+V104)/S104</f>
        <v>0.41059602649006621</v>
      </c>
      <c r="G104" s="180">
        <f>(Z104+W104)/P104</f>
        <v>0.63939899833055092</v>
      </c>
      <c r="H104" s="180">
        <f>(Z104/Q104)+((S104+X104+AA104)/(Q104+X104+AA104+AC104))</f>
        <v>1.0203446422002773</v>
      </c>
      <c r="I104" s="180">
        <f>V104/Z104</f>
        <v>9.9264705882352935E-2</v>
      </c>
      <c r="J104" s="180">
        <f>(AB104+AC104)/Z104</f>
        <v>4.4117647058823532E-2</v>
      </c>
      <c r="K104" s="180">
        <f>Y104/P104</f>
        <v>6.8447412353923209E-2</v>
      </c>
      <c r="L104" s="180">
        <f>(X104+AA104)/P104</f>
        <v>0.19198664440734559</v>
      </c>
      <c r="M104" s="186">
        <f>(D104*0.7635+E104*0.7562+F104*0.75+G104*0.7248+H104*0.7021+I104*0.6285+1-J104*0.5884+1-K104*0.5276+L104*0.3663)/6.931</f>
        <v>0.59578314626187734</v>
      </c>
      <c r="N104" s="187">
        <f>M104/0.4885*100</f>
        <v>121.96174949066068</v>
      </c>
      <c r="O104" s="283">
        <f>(N104-100)/100*P104*0.3389</f>
        <v>44.582593045285577</v>
      </c>
      <c r="P104" s="197">
        <v>599</v>
      </c>
      <c r="Q104" s="188">
        <f>P104-X104-AA104-AB104-AC104</f>
        <v>472</v>
      </c>
      <c r="R104" s="188" t="s">
        <v>19</v>
      </c>
      <c r="S104" s="197">
        <v>151</v>
      </c>
      <c r="T104" s="197">
        <v>30</v>
      </c>
      <c r="U104" s="197">
        <v>5</v>
      </c>
      <c r="V104" s="197">
        <v>27</v>
      </c>
      <c r="W104" s="197">
        <v>111</v>
      </c>
      <c r="X104" s="197">
        <v>114</v>
      </c>
      <c r="Y104" s="197">
        <v>41</v>
      </c>
      <c r="Z104" s="188">
        <f>S104+T104+U104*2+V104*3</f>
        <v>272</v>
      </c>
      <c r="AA104" s="197">
        <v>1</v>
      </c>
      <c r="AB104" s="197">
        <v>0</v>
      </c>
      <c r="AC104" s="197">
        <v>12</v>
      </c>
      <c r="AD104" s="9"/>
      <c r="AE104" s="6">
        <v>1919</v>
      </c>
      <c r="AF104" s="77">
        <v>3.4751376615962802E-2</v>
      </c>
      <c r="AG104" s="85">
        <v>0.47503572470039424</v>
      </c>
      <c r="AH104" s="86">
        <v>0.51567829708181856</v>
      </c>
      <c r="AI104" s="76">
        <v>1.2463874980673858E-2</v>
      </c>
      <c r="AJ104" s="41">
        <v>6.3200000000000001E-3</v>
      </c>
      <c r="AK104" s="42">
        <v>3.2325202478503387E-2</v>
      </c>
      <c r="AL104" s="79">
        <v>8.4399999999999996E-3</v>
      </c>
      <c r="AM104" s="9"/>
    </row>
    <row r="105" spans="1:39" x14ac:dyDescent="0.2">
      <c r="A105" s="9"/>
      <c r="B105" s="196">
        <v>1975</v>
      </c>
      <c r="C105" s="207" t="s">
        <v>114</v>
      </c>
      <c r="D105" s="180">
        <f>(S105-V105)/(Q105-V105-Y105+AC105)</f>
        <v>0.335632183908046</v>
      </c>
      <c r="E105" s="180">
        <f>Z105/P105</f>
        <v>0.39593114241001565</v>
      </c>
      <c r="F105" s="180">
        <f>(T105+U105+V105)/S105</f>
        <v>0.30674846625766872</v>
      </c>
      <c r="G105" s="180">
        <f>(Z105+W105)/P105</f>
        <v>0.54303599374021905</v>
      </c>
      <c r="H105" s="180">
        <f>(Z105/Q105)+((S105+X105+AA105)/(Q105+X105+AA105+AC105))</f>
        <v>0.97438580613533943</v>
      </c>
      <c r="I105" s="180">
        <f>V105/Z105</f>
        <v>6.7193675889328064E-2</v>
      </c>
      <c r="J105" s="180">
        <f>(AB105+AC105)/Z105</f>
        <v>2.3715415019762844E-2</v>
      </c>
      <c r="K105" s="180">
        <f>Y105/P105</f>
        <v>8.1377151799687006E-2</v>
      </c>
      <c r="L105" s="180">
        <f>(X105+AA105)/P105</f>
        <v>0.21126760563380281</v>
      </c>
      <c r="M105" s="186">
        <f>(D105*0.7635+E105*0.7562+F105*0.75+G105*0.7248+H105*0.7021+I105*0.6285+1-J105*0.5884+1-K105*0.5276+L105*0.3663)/6.931</f>
        <v>0.5664634581591389</v>
      </c>
      <c r="N105" s="187">
        <f>M105/0.4959*100</f>
        <v>114.22937248621474</v>
      </c>
      <c r="O105" s="283">
        <f>(N105-100)/100*P105*0.3389</f>
        <v>30.814716404344544</v>
      </c>
      <c r="P105" s="197">
        <v>639</v>
      </c>
      <c r="Q105" s="188">
        <f>P105-X105-AA105-AB105-AC105</f>
        <v>498</v>
      </c>
      <c r="R105" s="188" t="s">
        <v>19</v>
      </c>
      <c r="S105" s="197">
        <v>163</v>
      </c>
      <c r="T105" s="197">
        <v>27</v>
      </c>
      <c r="U105" s="197">
        <v>6</v>
      </c>
      <c r="V105" s="197">
        <v>17</v>
      </c>
      <c r="W105" s="197">
        <v>94</v>
      </c>
      <c r="X105" s="197">
        <v>132</v>
      </c>
      <c r="Y105" s="197">
        <v>52</v>
      </c>
      <c r="Z105" s="188">
        <f>S105+T105+U105*2+V105*3</f>
        <v>253</v>
      </c>
      <c r="AA105" s="197">
        <v>3</v>
      </c>
      <c r="AB105" s="197">
        <v>0</v>
      </c>
      <c r="AC105" s="197">
        <v>6</v>
      </c>
      <c r="AD105" s="9"/>
      <c r="AE105" s="6">
        <v>1918</v>
      </c>
      <c r="AF105" s="77">
        <v>3.0518405633358732E-2</v>
      </c>
      <c r="AG105" s="85">
        <v>0.46244985159962598</v>
      </c>
      <c r="AH105" s="86">
        <v>0.52355981916904537</v>
      </c>
      <c r="AI105" s="76">
        <v>1.1626684883995901E-2</v>
      </c>
      <c r="AJ105" s="41">
        <v>6.0600000000000003E-3</v>
      </c>
      <c r="AK105" s="42">
        <v>3.21343177697785E-2</v>
      </c>
      <c r="AL105" s="79">
        <v>8.5699999999999995E-3</v>
      </c>
      <c r="AM105" s="9"/>
    </row>
    <row r="106" spans="1:39" x14ac:dyDescent="0.2">
      <c r="A106" s="9"/>
      <c r="B106" s="196">
        <v>1971</v>
      </c>
      <c r="C106" s="207" t="s">
        <v>384</v>
      </c>
      <c r="D106" s="180">
        <f>(S106-V106)/(Q106-V106-Y106+AC106)</f>
        <v>0.37798165137614681</v>
      </c>
      <c r="E106" s="180">
        <f>Z106/P106</f>
        <v>0.49787835926449786</v>
      </c>
      <c r="F106" s="180">
        <f>(T106+U106+V106)/S106</f>
        <v>0.28695652173913044</v>
      </c>
      <c r="G106" s="180">
        <f>(Z106+W106)/P106</f>
        <v>0.69165487977369167</v>
      </c>
      <c r="H106" s="180">
        <f>(Z106/Q106)+((S106+X106+AA106)/(Q106+X106+AA106+AC106))</f>
        <v>0.97588493400416443</v>
      </c>
      <c r="I106" s="180">
        <f>V106/Z106</f>
        <v>6.8181818181818177E-2</v>
      </c>
      <c r="J106" s="180">
        <f>(AB106+AC106)/Z106</f>
        <v>1.7045454545454544E-2</v>
      </c>
      <c r="K106" s="180">
        <f>Y106/P106</f>
        <v>9.9009900990099015E-2</v>
      </c>
      <c r="L106" s="180">
        <f>(X106+AA106)/P106</f>
        <v>9.4766619519094764E-2</v>
      </c>
      <c r="M106" s="186">
        <f>(D106*0.7635+E106*0.7562+F106*0.75+G106*0.7248+H106*0.7021+I106*0.6285+1-J106*0.5884+1-K106*0.5276+L106*0.3663)/6.931</f>
        <v>0.58895980127980685</v>
      </c>
      <c r="N106" s="187">
        <f>M106/0.4905*100</f>
        <v>120.073353981612</v>
      </c>
      <c r="O106" s="283">
        <f>(N106-100)/100*P106*0.3389</f>
        <v>48.096217827083926</v>
      </c>
      <c r="P106" s="197">
        <v>707</v>
      </c>
      <c r="Q106" s="188">
        <f>P106-X106-AA106-AB106-AC106</f>
        <v>634</v>
      </c>
      <c r="R106" s="188" t="s">
        <v>19</v>
      </c>
      <c r="S106" s="197">
        <v>230</v>
      </c>
      <c r="T106" s="197">
        <v>34</v>
      </c>
      <c r="U106" s="197">
        <v>8</v>
      </c>
      <c r="V106" s="197">
        <v>24</v>
      </c>
      <c r="W106" s="197">
        <v>137</v>
      </c>
      <c r="X106" s="197">
        <v>63</v>
      </c>
      <c r="Y106" s="197">
        <v>70</v>
      </c>
      <c r="Z106" s="188">
        <f>S106+T106+U106*2+V106*3</f>
        <v>352</v>
      </c>
      <c r="AA106" s="197">
        <v>4</v>
      </c>
      <c r="AB106" s="197">
        <v>1</v>
      </c>
      <c r="AC106" s="197">
        <v>5</v>
      </c>
      <c r="AD106" s="9"/>
      <c r="AE106" s="6">
        <v>1917</v>
      </c>
      <c r="AF106" s="77">
        <v>3.1347658354705918E-2</v>
      </c>
      <c r="AG106" s="85">
        <v>0.46150275348898856</v>
      </c>
      <c r="AH106" s="86">
        <v>0.52415291069459891</v>
      </c>
      <c r="AI106" s="76">
        <v>1.2263195327485507E-2</v>
      </c>
      <c r="AJ106" s="41">
        <v>6.2399999999999999E-3</v>
      </c>
      <c r="AK106" s="42">
        <v>3.3179594387810082E-2</v>
      </c>
      <c r="AL106" s="79">
        <v>8.5100000000000002E-3</v>
      </c>
      <c r="AM106" s="9"/>
    </row>
    <row r="107" spans="1:39" x14ac:dyDescent="0.2">
      <c r="A107" s="9"/>
      <c r="B107" s="196">
        <v>2010</v>
      </c>
      <c r="C107" s="207" t="s">
        <v>312</v>
      </c>
      <c r="D107" s="180">
        <f>(S107-V107)/(Q107-V107-Y107+AC107)</f>
        <v>0.36082474226804123</v>
      </c>
      <c r="E107" s="180">
        <f>Z107/P107</f>
        <v>0.50617283950617287</v>
      </c>
      <c r="F107" s="180">
        <f>(T107+U107+V107)/S107</f>
        <v>0.42372881355932202</v>
      </c>
      <c r="G107" s="180">
        <f>(Z107+W107)/P107</f>
        <v>0.68055555555555558</v>
      </c>
      <c r="H107" s="180">
        <f>(Z107/Q107)+((S107+X107+AA107)/(Q107+X107+AA107+AC107))</f>
        <v>1.0240170853364028</v>
      </c>
      <c r="I107" s="180">
        <f>V107/Z107</f>
        <v>0.11280487804878049</v>
      </c>
      <c r="J107" s="180">
        <f>(AB107+AC107)/Z107</f>
        <v>9.1463414634146336E-3</v>
      </c>
      <c r="K107" s="180">
        <f>Y107/P107</f>
        <v>0.19290123456790123</v>
      </c>
      <c r="L107" s="180">
        <f>(X107+AA107)/P107</f>
        <v>0.15123456790123457</v>
      </c>
      <c r="M107" s="186">
        <f>(D107*0.7635+E107*0.7562+F107*0.75+G107*0.7248+H107*0.7021+I107*0.6285+1-J107*0.5884+1-K107*0.5276+L107*0.3663)/6.931</f>
        <v>0.60704399852948288</v>
      </c>
      <c r="N107" s="187">
        <f>M107/0.5122*100</f>
        <v>118.51698526542032</v>
      </c>
      <c r="O107" s="283">
        <f>(N107-100)/100*P107*0.3389</f>
        <v>40.664632865802119</v>
      </c>
      <c r="P107" s="197">
        <v>648</v>
      </c>
      <c r="Q107" s="188">
        <f>P107-X107-AA107-AB107-AC107</f>
        <v>547</v>
      </c>
      <c r="R107" s="188" t="s">
        <v>19</v>
      </c>
      <c r="S107" s="197">
        <v>177</v>
      </c>
      <c r="T107" s="197">
        <v>36</v>
      </c>
      <c r="U107" s="197">
        <v>2</v>
      </c>
      <c r="V107" s="197">
        <v>37</v>
      </c>
      <c r="W107" s="197">
        <v>113</v>
      </c>
      <c r="X107" s="197">
        <v>91</v>
      </c>
      <c r="Y107" s="197">
        <v>125</v>
      </c>
      <c r="Z107" s="188">
        <f>S107+T107+U107*2+V107*3</f>
        <v>328</v>
      </c>
      <c r="AA107" s="197">
        <v>7</v>
      </c>
      <c r="AB107" s="197">
        <v>0</v>
      </c>
      <c r="AC107" s="197">
        <v>3</v>
      </c>
      <c r="AD107" s="9"/>
      <c r="AE107" s="6">
        <v>1916</v>
      </c>
      <c r="AF107" s="77">
        <v>3.2323166914891323E-2</v>
      </c>
      <c r="AG107" s="85">
        <v>0.46387994057523652</v>
      </c>
      <c r="AH107" s="86">
        <v>0.52266426923319798</v>
      </c>
      <c r="AI107" s="76">
        <v>1.231410131882838E-2</v>
      </c>
      <c r="AJ107" s="41">
        <v>6.9100000000000003E-3</v>
      </c>
      <c r="AK107" s="42">
        <v>3.0531632454833906E-2</v>
      </c>
      <c r="AL107" s="79">
        <v>7.8700000000000003E-3</v>
      </c>
      <c r="AM107" s="9"/>
    </row>
    <row r="108" spans="1:39" x14ac:dyDescent="0.2">
      <c r="A108" s="9"/>
      <c r="B108" s="196">
        <v>1970</v>
      </c>
      <c r="C108" s="207" t="s">
        <v>115</v>
      </c>
      <c r="D108" s="180">
        <f>(S108-V108)/(Q108-V108-Y108+AC108)</f>
        <v>0.28144989339019189</v>
      </c>
      <c r="E108" s="180">
        <f>Z108/P108</f>
        <v>0.52906110283159469</v>
      </c>
      <c r="F108" s="180">
        <f>(T108+U108+V108)/S108</f>
        <v>0.47457627118644069</v>
      </c>
      <c r="G108" s="180">
        <f>(Z108+W108)/P108</f>
        <v>0.74962742175856933</v>
      </c>
      <c r="H108" s="180">
        <f>(Z108/Q108)+((S108+X108+AA108)/(Q108+X108+AA108+AC108))</f>
        <v>0.9315529789071173</v>
      </c>
      <c r="I108" s="180">
        <f>V108/Z108</f>
        <v>0.12676056338028169</v>
      </c>
      <c r="J108" s="180">
        <f>(AB108+AC108)/Z108</f>
        <v>3.3802816901408447E-2</v>
      </c>
      <c r="K108" s="180">
        <f>Y108/P108</f>
        <v>0.15201192250372578</v>
      </c>
      <c r="L108" s="180">
        <f>(X108+AA108)/P108</f>
        <v>8.0476900149031291E-2</v>
      </c>
      <c r="M108" s="186">
        <f>(D108*0.7635+E108*0.7562+F108*0.75+G108*0.7248+H108*0.7021+I108*0.6285+1-J108*0.5884+1-K108*0.5276+L108*0.3663)/6.931</f>
        <v>0.60270165049302182</v>
      </c>
      <c r="N108" s="187">
        <f>M108/0.5018*100</f>
        <v>120.10794150917134</v>
      </c>
      <c r="O108" s="283">
        <f>(N108-100)/100*P108*0.3389</f>
        <v>45.7258410427443</v>
      </c>
      <c r="P108" s="197">
        <v>671</v>
      </c>
      <c r="Q108" s="188">
        <f>P108-X108-AA108-AB108-AC108</f>
        <v>605</v>
      </c>
      <c r="R108" s="188" t="s">
        <v>19</v>
      </c>
      <c r="S108" s="197">
        <v>177</v>
      </c>
      <c r="T108" s="197">
        <v>35</v>
      </c>
      <c r="U108" s="197">
        <v>4</v>
      </c>
      <c r="V108" s="197">
        <v>45</v>
      </c>
      <c r="W108" s="197">
        <v>148</v>
      </c>
      <c r="X108" s="197">
        <v>54</v>
      </c>
      <c r="Y108" s="197">
        <v>102</v>
      </c>
      <c r="Z108" s="188">
        <f>S108+T108+U108*2+V108*3</f>
        <v>355</v>
      </c>
      <c r="AA108" s="197">
        <v>0</v>
      </c>
      <c r="AB108" s="197">
        <v>1</v>
      </c>
      <c r="AC108" s="197">
        <v>11</v>
      </c>
      <c r="AD108" s="9"/>
      <c r="AE108" s="6">
        <v>1915</v>
      </c>
      <c r="AF108" s="77">
        <v>3.2724148139590299E-2</v>
      </c>
      <c r="AG108" s="85">
        <v>0.46706793885583092</v>
      </c>
      <c r="AH108" s="86">
        <v>0.52066788180251489</v>
      </c>
      <c r="AI108" s="76">
        <v>1.277339321688774E-2</v>
      </c>
      <c r="AJ108" s="41">
        <v>7.3299999999999997E-3</v>
      </c>
      <c r="AK108" s="42">
        <v>3.2067065729903026E-2</v>
      </c>
      <c r="AL108" s="79">
        <v>8.7399999999999995E-3</v>
      </c>
      <c r="AM108" s="9"/>
    </row>
    <row r="109" spans="1:39" x14ac:dyDescent="0.2">
      <c r="A109" s="9"/>
      <c r="B109" s="196">
        <v>1972</v>
      </c>
      <c r="C109" s="207" t="s">
        <v>115</v>
      </c>
      <c r="D109" s="180">
        <f>(S109-V109)/(Q109-V109-Y109+AC109)</f>
        <v>0.24590163934426229</v>
      </c>
      <c r="E109" s="180">
        <f>Z109/P109</f>
        <v>0.44563552833078102</v>
      </c>
      <c r="F109" s="180">
        <f>(T109+U109+V109)/S109</f>
        <v>0.44137931034482758</v>
      </c>
      <c r="G109" s="180">
        <f>(Z109+W109)/P109</f>
        <v>0.6370597243491577</v>
      </c>
      <c r="H109" s="180">
        <f>(Z109/Q109)+((S109+X109+AA109)/(Q109+X109+AA109+AC109))</f>
        <v>0.91814289407813798</v>
      </c>
      <c r="I109" s="180">
        <f>V109/Z109</f>
        <v>0.13745704467353953</v>
      </c>
      <c r="J109" s="180">
        <f>(AB109+AC109)/Z109</f>
        <v>4.1237113402061855E-2</v>
      </c>
      <c r="K109" s="180">
        <f>Y109/P109</f>
        <v>0.12863705972434916</v>
      </c>
      <c r="L109" s="180">
        <f>(X109+AA109)/P109</f>
        <v>0.15620214395099541</v>
      </c>
      <c r="M109" s="186">
        <f>(D109*0.7635+E109*0.7562+F109*0.75+G109*0.7248+H109*0.7021+I109*0.6285+1-J109*0.5884+1-K109*0.5276+L109*0.3663)/6.931</f>
        <v>0.57908162642222794</v>
      </c>
      <c r="N109" s="187">
        <f>M109/0.4846*100</f>
        <v>119.49682757371605</v>
      </c>
      <c r="O109" s="283">
        <f>(N109-100)/100*P109*0.3389</f>
        <v>43.14681086670236</v>
      </c>
      <c r="P109" s="197">
        <v>653</v>
      </c>
      <c r="Q109" s="188">
        <f>P109-X109-AA109-AB109-AC109</f>
        <v>539</v>
      </c>
      <c r="R109" s="188" t="s">
        <v>19</v>
      </c>
      <c r="S109" s="197">
        <v>145</v>
      </c>
      <c r="T109" s="197">
        <v>22</v>
      </c>
      <c r="U109" s="197">
        <v>2</v>
      </c>
      <c r="V109" s="197">
        <v>40</v>
      </c>
      <c r="W109" s="197">
        <v>125</v>
      </c>
      <c r="X109" s="197">
        <v>100</v>
      </c>
      <c r="Y109" s="197">
        <v>84</v>
      </c>
      <c r="Z109" s="188">
        <f>S109+T109+U109*2+V109*3</f>
        <v>291</v>
      </c>
      <c r="AA109" s="197">
        <v>2</v>
      </c>
      <c r="AB109" s="197">
        <v>0</v>
      </c>
      <c r="AC109" s="197">
        <v>12</v>
      </c>
      <c r="AD109" s="9"/>
      <c r="AE109" s="6">
        <v>1914</v>
      </c>
      <c r="AF109" s="77">
        <v>3.3213883044043407E-2</v>
      </c>
      <c r="AG109" s="85">
        <v>0.47052590360088464</v>
      </c>
      <c r="AH109" s="86">
        <v>0.51850243604465729</v>
      </c>
      <c r="AI109" s="76">
        <v>1.2488420024560321E-2</v>
      </c>
      <c r="AJ109" s="41">
        <v>7.1199999999999996E-3</v>
      </c>
      <c r="AK109" s="42">
        <v>3.0075619932638655E-2</v>
      </c>
      <c r="AL109" s="79">
        <v>7.6800000000000002E-3</v>
      </c>
      <c r="AM109" s="9"/>
    </row>
    <row r="110" spans="1:39" x14ac:dyDescent="0.2">
      <c r="A110" s="9"/>
      <c r="B110" s="219">
        <v>1914</v>
      </c>
      <c r="C110" s="220" t="s">
        <v>244</v>
      </c>
      <c r="D110" s="221">
        <f>(S110-V110)/(Q110-V110-Y110+AC110)</f>
        <v>0.2924731182795699</v>
      </c>
      <c r="E110" s="221">
        <f>Z110/P110</f>
        <v>0.27124183006535946</v>
      </c>
      <c r="F110" s="221">
        <f>(T110+U110+V110)/S110</f>
        <v>0.17518248175182483</v>
      </c>
      <c r="G110" s="221">
        <f>(Z110+W110)/P110</f>
        <v>0.33660130718954251</v>
      </c>
      <c r="H110" s="221">
        <f>(Z110/Q110)+((S110+X110+AA110)/(Q110+X110+AA110+AC110))</f>
        <v>0.72984693246438381</v>
      </c>
      <c r="I110" s="221">
        <f>V110/Z110</f>
        <v>6.024096385542169E-3</v>
      </c>
      <c r="J110" s="221">
        <f>(AB110+AC110)/Z110</f>
        <v>0.21686746987951808</v>
      </c>
      <c r="K110" s="221">
        <f>Y110/P110</f>
        <v>4.2483660130718956E-2</v>
      </c>
      <c r="L110" s="221">
        <f>(X110+AA110)/P110</f>
        <v>0.1454248366013072</v>
      </c>
      <c r="M110" s="222">
        <f>(D110*0.7635+E110*0.7562+F110*0.75+G110*0.7248+H110*0.7021+I110*0.6285+1-J110*0.5884+1-K110*0.5276+L110*0.3663)/6.931</f>
        <v>0.46504593588418197</v>
      </c>
      <c r="N110" s="223">
        <f>M110/0.4705*100</f>
        <v>98.84079402426822</v>
      </c>
      <c r="O110" s="224">
        <f>(N110-100)/100*P110*0.3389</f>
        <v>-2.4042720196740612</v>
      </c>
      <c r="P110" s="197">
        <v>612</v>
      </c>
      <c r="Q110" s="189">
        <f>P110-X110-AA110-AB110-AC110</f>
        <v>487</v>
      </c>
      <c r="R110" s="188" t="s">
        <v>19</v>
      </c>
      <c r="S110" s="197">
        <v>137</v>
      </c>
      <c r="T110" s="197">
        <v>20</v>
      </c>
      <c r="U110" s="197">
        <v>3</v>
      </c>
      <c r="V110" s="197">
        <v>1</v>
      </c>
      <c r="W110" s="197">
        <v>40</v>
      </c>
      <c r="X110" s="197">
        <v>87</v>
      </c>
      <c r="Y110" s="197">
        <v>26</v>
      </c>
      <c r="Z110" s="188">
        <f>S110+T110+U110*2+V110*3</f>
        <v>166</v>
      </c>
      <c r="AA110" s="197">
        <v>2</v>
      </c>
      <c r="AB110" s="197">
        <v>31</v>
      </c>
      <c r="AC110" s="199">
        <v>5</v>
      </c>
      <c r="AD110" s="9"/>
      <c r="AE110" s="6">
        <v>1913</v>
      </c>
      <c r="AF110" s="77">
        <v>3.3367751752622139E-2</v>
      </c>
      <c r="AG110" s="85">
        <v>0.47575720815414813</v>
      </c>
      <c r="AH110" s="86">
        <v>0.51522648990636066</v>
      </c>
      <c r="AI110" s="76">
        <v>1.3749252758002282E-2</v>
      </c>
      <c r="AJ110" s="41">
        <v>7.6299999999999996E-3</v>
      </c>
      <c r="AK110" s="42">
        <v>2.7618064235639367E-2</v>
      </c>
      <c r="AL110" s="79">
        <v>6.8500000000000002E-3</v>
      </c>
      <c r="AM110" s="9"/>
    </row>
    <row r="111" spans="1:39" x14ac:dyDescent="0.2">
      <c r="A111" s="9"/>
      <c r="B111" s="196">
        <v>2020</v>
      </c>
      <c r="C111" s="207" t="s">
        <v>331</v>
      </c>
      <c r="D111" s="180">
        <f>(S111-V111)/(Q111-V111-Y111+AC111)</f>
        <v>0.34969325153374231</v>
      </c>
      <c r="E111" s="180">
        <f>Z111/P111</f>
        <v>0.56488549618320616</v>
      </c>
      <c r="F111" s="180">
        <f>(T111+U111+V111)/S111</f>
        <v>0.44736842105263158</v>
      </c>
      <c r="G111" s="180">
        <f>(Z111+W111)/P111</f>
        <v>0.79389312977099236</v>
      </c>
      <c r="H111" s="180">
        <f>(Z111/Q111)+((S111+X111+AA111)/(Q111+X111+AA111+AC111))</f>
        <v>0.98689567430025449</v>
      </c>
      <c r="I111" s="180">
        <f>V111/Z111</f>
        <v>0.12837837837837837</v>
      </c>
      <c r="J111" s="180">
        <f>(AB111+AC111)/Z111</f>
        <v>6.7567567567567571E-3</v>
      </c>
      <c r="K111" s="180">
        <f>Y111/P111</f>
        <v>0.22519083969465647</v>
      </c>
      <c r="L111" s="180">
        <f>(X111+AA111)/P111</f>
        <v>8.0152671755725186E-2</v>
      </c>
      <c r="M111" s="186">
        <f>(D111*0.7635+E111*0.7562+F111*0.75+G111*0.7248+H111*0.7021+I111*0.6285+1-J111*0.5884+1-K111*0.5276+L111*0.3663)/6.931</f>
        <v>0.61827385524596845</v>
      </c>
      <c r="N111" s="187">
        <f>M111/0.5234*100</f>
        <v>118.12645304661224</v>
      </c>
      <c r="O111" s="283">
        <f>(N111-100)/100*P111*0.3389</f>
        <v>16.094803936241846</v>
      </c>
      <c r="P111" s="188">
        <v>262</v>
      </c>
      <c r="Q111" s="188">
        <f>P111-X111-AA111-AB111-AC111</f>
        <v>240</v>
      </c>
      <c r="R111" s="188" t="s">
        <v>19</v>
      </c>
      <c r="S111" s="188">
        <v>76</v>
      </c>
      <c r="T111" s="188">
        <v>15</v>
      </c>
      <c r="U111" s="188">
        <v>0</v>
      </c>
      <c r="V111" s="188">
        <v>19</v>
      </c>
      <c r="W111" s="188">
        <v>60</v>
      </c>
      <c r="X111" s="188">
        <v>18</v>
      </c>
      <c r="Y111" s="188">
        <v>59</v>
      </c>
      <c r="Z111" s="188">
        <f>S111+T111+U111*2+V111*3</f>
        <v>148</v>
      </c>
      <c r="AA111" s="188">
        <v>3</v>
      </c>
      <c r="AB111" s="188">
        <v>0</v>
      </c>
      <c r="AC111" s="188">
        <v>1</v>
      </c>
      <c r="AD111" s="9"/>
      <c r="AE111" s="6">
        <v>1912</v>
      </c>
      <c r="AF111" s="77">
        <v>3.5879381928690668E-2</v>
      </c>
      <c r="AG111" s="85">
        <v>0.4825482044756681</v>
      </c>
      <c r="AH111" s="86">
        <v>0.51097383400606655</v>
      </c>
      <c r="AI111" s="76">
        <v>1.4499422163249582E-2</v>
      </c>
      <c r="AJ111" s="41">
        <v>7.6699999999999997E-3</v>
      </c>
      <c r="AK111" s="42">
        <v>2.9587381757479776E-2</v>
      </c>
      <c r="AL111" s="79">
        <v>8.2100000000000003E-3</v>
      </c>
      <c r="AM111" s="9"/>
    </row>
    <row r="112" spans="1:39" x14ac:dyDescent="0.2">
      <c r="A112" s="9"/>
      <c r="B112" s="196">
        <v>2017</v>
      </c>
      <c r="C112" s="207" t="s">
        <v>336</v>
      </c>
      <c r="D112" s="180">
        <f>(S112-V112)/(Q112-V112-Y112+AC112)</f>
        <v>0.37037037037037035</v>
      </c>
      <c r="E112" s="180">
        <f>Z112/P112</f>
        <v>0.48791540785498488</v>
      </c>
      <c r="F112" s="180">
        <f>(T112+U112+V112)/S112</f>
        <v>0.32843137254901961</v>
      </c>
      <c r="G112" s="180">
        <f>(Z112+W112)/P112</f>
        <v>0.61027190332326287</v>
      </c>
      <c r="H112" s="180">
        <f>(Z112/Q112)+((S112+X112+AA112)/(Q112+X112+AA112+AC112))</f>
        <v>0.95744249852560326</v>
      </c>
      <c r="I112" s="180">
        <f>V112/Z112</f>
        <v>7.4303405572755415E-2</v>
      </c>
      <c r="J112" s="180">
        <f>(AB112+AC112)/Z112</f>
        <v>1.5479876160990712E-2</v>
      </c>
      <c r="K112" s="180">
        <f>Y112/P112</f>
        <v>0.12688821752265861</v>
      </c>
      <c r="L112" s="180">
        <f>(X112+AA112)/P112</f>
        <v>0.10120845921450151</v>
      </c>
      <c r="M112" s="186">
        <f>(D112*0.7635+E112*0.7562+F112*0.75+G112*0.7248+H112*0.7021+I112*0.6285+1-J112*0.5884+1-K112*0.5276+L112*0.3663)/6.931</f>
        <v>0.58004994353883654</v>
      </c>
      <c r="N112" s="187">
        <f>M112/0.5241*100</f>
        <v>110.67543284465494</v>
      </c>
      <c r="O112" s="283">
        <f>(N112-100)/100*P112*0.3389</f>
        <v>23.950525744774549</v>
      </c>
      <c r="P112" s="197">
        <v>662</v>
      </c>
      <c r="Q112" s="188">
        <f>P112-X112-AA112-AB112-AC112</f>
        <v>590</v>
      </c>
      <c r="R112" s="188" t="s">
        <v>19</v>
      </c>
      <c r="S112" s="197">
        <v>204</v>
      </c>
      <c r="T112" s="197">
        <v>39</v>
      </c>
      <c r="U112" s="197">
        <v>4</v>
      </c>
      <c r="V112" s="197">
        <v>24</v>
      </c>
      <c r="W112" s="197">
        <v>81</v>
      </c>
      <c r="X112" s="197">
        <v>58</v>
      </c>
      <c r="Y112" s="197">
        <v>84</v>
      </c>
      <c r="Z112" s="188">
        <f>S112+T112+U112*2+V112*3</f>
        <v>323</v>
      </c>
      <c r="AA112" s="197">
        <v>9</v>
      </c>
      <c r="AB112" s="197">
        <v>1</v>
      </c>
      <c r="AC112" s="197">
        <v>4</v>
      </c>
      <c r="AD112" s="9"/>
      <c r="AE112" s="6">
        <v>1911</v>
      </c>
      <c r="AF112" s="77">
        <v>3.464889473740064E-2</v>
      </c>
      <c r="AG112" s="85">
        <v>0.4811731889482303</v>
      </c>
      <c r="AH112" s="86">
        <v>0.51183489586192776</v>
      </c>
      <c r="AI112" s="76">
        <v>1.4039965616410735E-2</v>
      </c>
      <c r="AJ112" s="41">
        <v>8.9599999999999992E-3</v>
      </c>
      <c r="AK112" s="42">
        <v>3.0605639333128164E-2</v>
      </c>
      <c r="AL112" s="79">
        <v>7.7200000000000003E-3</v>
      </c>
      <c r="AM112" s="9"/>
    </row>
    <row r="113" spans="1:39" x14ac:dyDescent="0.2">
      <c r="A113" s="9"/>
      <c r="B113" s="196">
        <v>1988</v>
      </c>
      <c r="C113" s="207" t="s">
        <v>365</v>
      </c>
      <c r="D113" s="180">
        <f>(S113-V113)/(Q113-V113-Y113+AC113)</f>
        <v>0.32511210762331838</v>
      </c>
      <c r="E113" s="180">
        <f>Z113/P113</f>
        <v>0.49219858156028368</v>
      </c>
      <c r="F113" s="180">
        <f>(T113+U113+V113)/S113</f>
        <v>0.40641711229946526</v>
      </c>
      <c r="G113" s="180">
        <f>(Z113+W113)/P113</f>
        <v>0.66808510638297869</v>
      </c>
      <c r="H113" s="180">
        <f>(Z113/Q113)+((S113+X113+AA113)/(Q113+X113+AA113+AC113))</f>
        <v>0.95947745901639347</v>
      </c>
      <c r="I113" s="180">
        <f>V113/Z113</f>
        <v>0.12103746397694524</v>
      </c>
      <c r="J113" s="180">
        <f>(AB113+AC113)/Z113</f>
        <v>2.0172910662824207E-2</v>
      </c>
      <c r="K113" s="180">
        <f>Y113/P113</f>
        <v>0.18156028368794327</v>
      </c>
      <c r="L113" s="180">
        <f>(X113+AA113)/P113</f>
        <v>0.12482269503546099</v>
      </c>
      <c r="M113" s="186">
        <f>(D113*0.7635+E113*0.7562+F113*0.75+G113*0.7248+H113*0.7021+I113*0.6285+1-J113*0.5884+1-K113*0.5276+L113*0.3663)/6.931</f>
        <v>0.59114808221698412</v>
      </c>
      <c r="N113" s="187">
        <f>M113/0.4982*100</f>
        <v>118.65678085447293</v>
      </c>
      <c r="O113" s="283">
        <f>(N113-100)/100*P113*0.3389</f>
        <v>44.575620372645169</v>
      </c>
      <c r="P113" s="197">
        <v>705</v>
      </c>
      <c r="Q113" s="188">
        <f>P113-X113-AA113-AB113-AC113</f>
        <v>610</v>
      </c>
      <c r="R113" s="188" t="s">
        <v>19</v>
      </c>
      <c r="S113" s="197">
        <v>187</v>
      </c>
      <c r="T113" s="197">
        <v>34</v>
      </c>
      <c r="U113" s="197">
        <v>0</v>
      </c>
      <c r="V113" s="197">
        <v>42</v>
      </c>
      <c r="W113" s="197">
        <v>124</v>
      </c>
      <c r="X113" s="197">
        <v>78</v>
      </c>
      <c r="Y113" s="197">
        <v>128</v>
      </c>
      <c r="Z113" s="188">
        <f>S113+T113+U113*2+V113*3</f>
        <v>347</v>
      </c>
      <c r="AA113" s="197">
        <v>10</v>
      </c>
      <c r="AB113" s="197">
        <v>1</v>
      </c>
      <c r="AC113" s="197">
        <v>6</v>
      </c>
      <c r="AD113" s="9"/>
      <c r="AE113" s="39"/>
      <c r="AF113" s="39"/>
      <c r="AG113" s="39"/>
      <c r="AH113" s="39"/>
      <c r="AI113" s="39"/>
      <c r="AJ113" s="40"/>
      <c r="AK113" s="39"/>
      <c r="AL113" s="40"/>
      <c r="AM113" s="9"/>
    </row>
    <row r="114" spans="1:39" x14ac:dyDescent="0.2">
      <c r="A114" s="9"/>
      <c r="B114" s="196">
        <v>2015</v>
      </c>
      <c r="C114" s="207" t="s">
        <v>339</v>
      </c>
      <c r="D114" s="180">
        <f>(S114-V114)/(Q114-V114-Y114+AC114)</f>
        <v>0.31359649122807015</v>
      </c>
      <c r="E114" s="180">
        <f>Z114/P114</f>
        <v>0.49507735583684953</v>
      </c>
      <c r="F114" s="180">
        <f>(T114+U114+V114)/S114</f>
        <v>0.45652173913043476</v>
      </c>
      <c r="G114" s="180">
        <f>(Z114+W114)/P114</f>
        <v>0.66807313642756683</v>
      </c>
      <c r="H114" s="180">
        <f>(Z114/Q114)+((S114+X114+AA114)/(Q114+X114+AA114+AC114))</f>
        <v>0.93868692843168478</v>
      </c>
      <c r="I114" s="180">
        <f>V114/Z114</f>
        <v>0.11647727272727272</v>
      </c>
      <c r="J114" s="180">
        <f>(AB114+AC114)/Z114</f>
        <v>3.4090909090909088E-2</v>
      </c>
      <c r="K114" s="180">
        <f>Y114/P114</f>
        <v>0.18706047819971872</v>
      </c>
      <c r="L114" s="180">
        <f>(X114+AA114)/P114</f>
        <v>0.1111111111111111</v>
      </c>
      <c r="M114" s="186">
        <f>(D114*0.7635+E114*0.7562+F114*0.75+G114*0.7248+H114*0.7021+I114*0.6285+1-J114*0.5884+1-K114*0.5276+L114*0.3663)/6.931</f>
        <v>0.59076972880113965</v>
      </c>
      <c r="N114" s="187">
        <f>M114/0.5124*100</f>
        <v>115.29463871997261</v>
      </c>
      <c r="O114" s="283">
        <f>(N114-100)/100*P114*0.3389</f>
        <v>36.853640272232887</v>
      </c>
      <c r="P114" s="197">
        <v>711</v>
      </c>
      <c r="Q114" s="188">
        <f>P114-X114-AA114-AB114-AC114</f>
        <v>620</v>
      </c>
      <c r="R114" s="188" t="s">
        <v>19</v>
      </c>
      <c r="S114" s="197">
        <v>184</v>
      </c>
      <c r="T114" s="197">
        <v>41</v>
      </c>
      <c r="U114" s="197">
        <v>2</v>
      </c>
      <c r="V114" s="197">
        <v>41</v>
      </c>
      <c r="W114" s="197">
        <v>123</v>
      </c>
      <c r="X114" s="197">
        <v>73</v>
      </c>
      <c r="Y114" s="197">
        <v>133</v>
      </c>
      <c r="Z114" s="188">
        <f>S114+T114+U114*2+V114*3</f>
        <v>352</v>
      </c>
      <c r="AA114" s="197">
        <v>6</v>
      </c>
      <c r="AB114" s="197">
        <v>2</v>
      </c>
      <c r="AC114" s="197">
        <v>10</v>
      </c>
      <c r="AD114" s="9"/>
      <c r="AE114" s="37"/>
      <c r="AF114" s="37"/>
      <c r="AG114" s="37"/>
      <c r="AH114" s="37"/>
      <c r="AI114" s="37"/>
      <c r="AJ114" s="75"/>
      <c r="AL114" s="17"/>
    </row>
    <row r="115" spans="1:39" x14ac:dyDescent="0.2">
      <c r="A115" s="9"/>
      <c r="B115" s="196">
        <v>2010</v>
      </c>
      <c r="C115" s="207" t="s">
        <v>346</v>
      </c>
      <c r="D115" s="180">
        <f>(S115-V115)/(Q115-V115-Y115+AC115)</f>
        <v>0.38987341772151901</v>
      </c>
      <c r="E115" s="180">
        <f>Z115/P115</f>
        <v>0.57443082311733795</v>
      </c>
      <c r="F115" s="180">
        <f>(T115+U115+V115)/S115</f>
        <v>0.40322580645161288</v>
      </c>
      <c r="G115" s="180">
        <f>(Z115+W115)/P115</f>
        <v>0.74956217162872152</v>
      </c>
      <c r="H115" s="180">
        <f>(Z115/Q115)+((S115+X115+AA115)/(Q115+X115+AA115+AC115))</f>
        <v>1.0437309489941069</v>
      </c>
      <c r="I115" s="180">
        <f>V115/Z115</f>
        <v>9.7560975609756101E-2</v>
      </c>
      <c r="J115" s="180">
        <f>(AB115+AC115)/Z115</f>
        <v>1.524390243902439E-2</v>
      </c>
      <c r="K115" s="180">
        <f>Y115/P115</f>
        <v>0.16637478108581435</v>
      </c>
      <c r="L115" s="180">
        <f>(X115+AA115)/P115</f>
        <v>8.4063047285464099E-2</v>
      </c>
      <c r="M115" s="186">
        <f>(D115*0.7635+E115*0.7562+F115*0.75+G115*0.7248+H115*0.7021+I115*0.6285+1-J115*0.5884+1-K115*0.5276+L115*0.3663)/6.931</f>
        <v>0.62125508291604092</v>
      </c>
      <c r="N115" s="187">
        <f>M115/0.5122*100</f>
        <v>121.29150388833287</v>
      </c>
      <c r="O115" s="283">
        <f>(N115-100)/100*P115*0.3389</f>
        <v>41.201593712886812</v>
      </c>
      <c r="P115" s="197">
        <v>571</v>
      </c>
      <c r="Q115" s="188">
        <f>P115-X115-AA115-AB115-AC115</f>
        <v>518</v>
      </c>
      <c r="R115" s="188" t="s">
        <v>19</v>
      </c>
      <c r="S115" s="197">
        <v>186</v>
      </c>
      <c r="T115" s="197">
        <v>40</v>
      </c>
      <c r="U115" s="197">
        <v>3</v>
      </c>
      <c r="V115" s="197">
        <v>32</v>
      </c>
      <c r="W115" s="197">
        <v>100</v>
      </c>
      <c r="X115" s="197">
        <v>43</v>
      </c>
      <c r="Y115" s="197">
        <v>95</v>
      </c>
      <c r="Z115" s="188">
        <f>S115+T115+U115*2+V115*3</f>
        <v>328</v>
      </c>
      <c r="AA115" s="197">
        <v>5</v>
      </c>
      <c r="AB115" s="197">
        <v>1</v>
      </c>
      <c r="AC115" s="197">
        <v>4</v>
      </c>
      <c r="AD115" s="9"/>
      <c r="AE115" s="37"/>
      <c r="AF115" s="87"/>
      <c r="AG115" s="88"/>
      <c r="AH115" s="88"/>
      <c r="AI115" s="87"/>
      <c r="AJ115" s="87"/>
      <c r="AK115" s="87"/>
      <c r="AL115" s="87"/>
    </row>
    <row r="116" spans="1:39" x14ac:dyDescent="0.2">
      <c r="A116" s="9"/>
      <c r="B116" s="196">
        <v>1996</v>
      </c>
      <c r="C116" s="207" t="s">
        <v>359</v>
      </c>
      <c r="D116" s="180">
        <f>(S116-V116)/(Q116-V116-Y116+AC116)</f>
        <v>0.29638554216867469</v>
      </c>
      <c r="E116" s="180">
        <f>Z116/P116</f>
        <v>0.58783783783783783</v>
      </c>
      <c r="F116" s="180">
        <f>(T116+U116+V116)/S116</f>
        <v>0.4823529411764706</v>
      </c>
      <c r="G116" s="180">
        <f>(Z116+W116)/P116</f>
        <v>0.83108108108108103</v>
      </c>
      <c r="H116" s="180">
        <f>(Z116/Q116)+((S116+X116+AA116)/(Q116+X116+AA116+AC116))</f>
        <v>1.0114964779937055</v>
      </c>
      <c r="I116" s="180">
        <f>V116/Z116</f>
        <v>0.13505747126436782</v>
      </c>
      <c r="J116" s="180">
        <f>(AB116+AC116)/Z116</f>
        <v>8.6206896551724137E-3</v>
      </c>
      <c r="K116" s="180">
        <f>Y116/P116</f>
        <v>0.13851351351351351</v>
      </c>
      <c r="L116" s="180">
        <f>(X116+AA116)/P116</f>
        <v>8.1081081081081086E-2</v>
      </c>
      <c r="M116" s="186">
        <f>(D116*0.7635+E116*0.7562+F116*0.75+G116*0.7248+H116*0.7021+I116*0.6285+1-J116*0.5884+1-K116*0.5276+L116*0.3663)/6.931</f>
        <v>0.63216689687417105</v>
      </c>
      <c r="N116" s="187">
        <f>M116/0.5238*100</f>
        <v>120.68860192328579</v>
      </c>
      <c r="O116" s="283">
        <f>(N116-100)/100*P116*0.3389</f>
        <v>41.507293775465193</v>
      </c>
      <c r="P116" s="197">
        <v>592</v>
      </c>
      <c r="Q116" s="188">
        <f>P116-X116-AA116-AB116-AC116</f>
        <v>541</v>
      </c>
      <c r="R116" s="188" t="s">
        <v>19</v>
      </c>
      <c r="S116" s="197">
        <v>170</v>
      </c>
      <c r="T116" s="197">
        <v>33</v>
      </c>
      <c r="U116" s="197">
        <v>2</v>
      </c>
      <c r="V116" s="197">
        <v>47</v>
      </c>
      <c r="W116" s="197">
        <v>144</v>
      </c>
      <c r="X116" s="197">
        <v>45</v>
      </c>
      <c r="Y116" s="197">
        <v>82</v>
      </c>
      <c r="Z116" s="188">
        <f>S116+T116+U116*2+V116*3</f>
        <v>348</v>
      </c>
      <c r="AA116" s="197">
        <v>3</v>
      </c>
      <c r="AB116" s="197">
        <v>0</v>
      </c>
      <c r="AC116" s="197">
        <v>3</v>
      </c>
      <c r="AD116" s="9"/>
      <c r="AE116" s="37"/>
      <c r="AF116" s="134"/>
      <c r="AG116" s="88"/>
      <c r="AH116" s="37"/>
      <c r="AI116" s="134"/>
      <c r="AJ116" s="134"/>
      <c r="AK116" s="134"/>
      <c r="AL116" s="134"/>
    </row>
    <row r="117" spans="1:39" x14ac:dyDescent="0.2">
      <c r="A117" s="9"/>
      <c r="B117" s="196">
        <v>1998</v>
      </c>
      <c r="C117" s="207" t="s">
        <v>359</v>
      </c>
      <c r="D117" s="180">
        <f>(S117-V117)/(Q117-V117-Y117+AC117)</f>
        <v>0.33183856502242154</v>
      </c>
      <c r="E117" s="180">
        <f>Z117/P117</f>
        <v>0.57100149476831086</v>
      </c>
      <c r="F117" s="180">
        <f>(T117+U117+V117)/S117</f>
        <v>0.50259067357512954</v>
      </c>
      <c r="G117" s="180">
        <f>(Z117+W117)/P117</f>
        <v>0.8056801195814649</v>
      </c>
      <c r="H117" s="180">
        <f>(Z117/Q117)+((S117+X117+AA117)/(Q117+X117+AA117+AC117))</f>
        <v>0.99658127247702344</v>
      </c>
      <c r="I117" s="180">
        <f>V117/Z117</f>
        <v>0.11780104712041885</v>
      </c>
      <c r="J117" s="180">
        <f>(AB117+AC117)/Z117</f>
        <v>2.8795811518324606E-2</v>
      </c>
      <c r="K117" s="180">
        <f>Y117/P117</f>
        <v>0.18834080717488788</v>
      </c>
      <c r="L117" s="180">
        <f>(X117+AA117)/P117</f>
        <v>7.7727952167414044E-2</v>
      </c>
      <c r="M117" s="186">
        <f>(D117*0.7635+E117*0.7562+F117*0.75+G117*0.7248+H117*0.7021+I117*0.6285+1-J117*0.5884+1-K117*0.5276+L117*0.3663)/6.931</f>
        <v>0.62501044346122925</v>
      </c>
      <c r="N117" s="187">
        <f>M117/0.5208*100</f>
        <v>120.00968576444492</v>
      </c>
      <c r="O117" s="283">
        <f>(N117-100)/100*P117*0.3389</f>
        <v>45.366779962265873</v>
      </c>
      <c r="P117" s="197">
        <v>669</v>
      </c>
      <c r="Q117" s="188">
        <f>P117-X117-AA117-AB117-AC117</f>
        <v>606</v>
      </c>
      <c r="R117" s="188" t="s">
        <v>19</v>
      </c>
      <c r="S117" s="197">
        <v>193</v>
      </c>
      <c r="T117" s="197">
        <v>50</v>
      </c>
      <c r="U117" s="197">
        <v>2</v>
      </c>
      <c r="V117" s="197">
        <v>45</v>
      </c>
      <c r="W117" s="197">
        <v>157</v>
      </c>
      <c r="X117" s="197">
        <v>46</v>
      </c>
      <c r="Y117" s="197">
        <v>126</v>
      </c>
      <c r="Z117" s="188">
        <f>S117+T117+U117*2+V117*3</f>
        <v>382</v>
      </c>
      <c r="AA117" s="197">
        <v>6</v>
      </c>
      <c r="AB117" s="197">
        <v>0</v>
      </c>
      <c r="AC117" s="197">
        <v>11</v>
      </c>
      <c r="AD117" s="9"/>
      <c r="AE117" s="37"/>
      <c r="AF117" s="37"/>
      <c r="AG117" s="88"/>
      <c r="AH117" s="37"/>
      <c r="AI117" s="37"/>
      <c r="AJ117" s="38"/>
      <c r="AK117" s="37"/>
      <c r="AL117" s="38"/>
    </row>
    <row r="118" spans="1:39" x14ac:dyDescent="0.2">
      <c r="A118" s="9"/>
      <c r="B118" s="196">
        <v>2006</v>
      </c>
      <c r="C118" s="207" t="s">
        <v>352</v>
      </c>
      <c r="D118" s="180">
        <f>(S118-V118)/(Q118-V118-Y118+AC118)</f>
        <v>0.32773109243697479</v>
      </c>
      <c r="E118" s="180">
        <f>Z118/P118</f>
        <v>0.50075642965204237</v>
      </c>
      <c r="F118" s="180">
        <f>(T118+U118+V118)/S118</f>
        <v>0.37894736842105264</v>
      </c>
      <c r="G118" s="180">
        <f>(Z118+W118)/P118</f>
        <v>0.69742813918305602</v>
      </c>
      <c r="H118" s="180">
        <f>(Z118/Q118)+((S118+X118+AA118)/(Q118+X118+AA118+AC118))</f>
        <v>0.93431072903463219</v>
      </c>
      <c r="I118" s="180">
        <f>V118/Z118</f>
        <v>0.1027190332326284</v>
      </c>
      <c r="J118" s="180">
        <f>(AB118+AC118)/Z118</f>
        <v>3.3232628398791542E-2</v>
      </c>
      <c r="K118" s="180">
        <f>Y118/P118</f>
        <v>0.14069591527987896</v>
      </c>
      <c r="L118" s="180">
        <f>(X118+AA118)/P118</f>
        <v>8.7745839636913764E-2</v>
      </c>
      <c r="M118" s="186">
        <f>(D118*0.7635+E118*0.7562+F118*0.75+G118*0.7248+H118*0.7021+I118*0.6285+1-J118*0.5884+1-K118*0.5276+L118*0.3663)/6.931</f>
        <v>0.58829832284281991</v>
      </c>
      <c r="N118" s="187">
        <f>M118/0.5267*100</f>
        <v>111.69514388509967</v>
      </c>
      <c r="O118" s="283">
        <f>(N118-100)/100*P118*0.3389</f>
        <v>26.198630976184436</v>
      </c>
      <c r="P118" s="197">
        <v>661</v>
      </c>
      <c r="Q118" s="188">
        <f>P118-X118-AA118-AB118-AC118</f>
        <v>592</v>
      </c>
      <c r="R118" s="188" t="s">
        <v>19</v>
      </c>
      <c r="S118" s="197">
        <v>190</v>
      </c>
      <c r="T118" s="197">
        <v>37</v>
      </c>
      <c r="U118" s="197">
        <v>1</v>
      </c>
      <c r="V118" s="197">
        <v>34</v>
      </c>
      <c r="W118" s="197">
        <v>130</v>
      </c>
      <c r="X118" s="197">
        <v>53</v>
      </c>
      <c r="Y118" s="197">
        <v>93</v>
      </c>
      <c r="Z118" s="188">
        <f>S118+T118+U118*2+V118*3</f>
        <v>331</v>
      </c>
      <c r="AA118" s="197">
        <v>5</v>
      </c>
      <c r="AB118" s="197">
        <v>0</v>
      </c>
      <c r="AC118" s="197">
        <v>11</v>
      </c>
      <c r="AD118" s="9"/>
      <c r="AE118" s="37"/>
      <c r="AF118" s="37"/>
      <c r="AG118" s="97"/>
      <c r="AH118" s="37"/>
      <c r="AI118" s="37"/>
      <c r="AJ118" s="38"/>
      <c r="AK118" s="37"/>
      <c r="AL118" s="38"/>
    </row>
    <row r="119" spans="1:39" x14ac:dyDescent="0.2">
      <c r="A119" s="9"/>
      <c r="B119" s="210">
        <v>2011</v>
      </c>
      <c r="C119" s="211" t="s">
        <v>344</v>
      </c>
      <c r="D119" s="181">
        <f>(S119-V119)/(Q119-V119-Y119+AC119)</f>
        <v>0.23696682464454977</v>
      </c>
      <c r="E119" s="181">
        <f>Z119/P119</f>
        <v>0.29205366357069146</v>
      </c>
      <c r="F119" s="181">
        <f>(T119+U119+V119)/S119</f>
        <v>0.33333333333333331</v>
      </c>
      <c r="G119" s="181">
        <f>(Z119+R119)/P119</f>
        <v>0.36738906088751289</v>
      </c>
      <c r="H119" s="181">
        <f>(Z119/Q119)+((S119+X119+AA119)/(Q119+X119+AA119+AC119))</f>
        <v>0.55503861957884526</v>
      </c>
      <c r="I119" s="181">
        <f>V119/Z119</f>
        <v>8.4805653710247356E-2</v>
      </c>
      <c r="J119" s="181">
        <f>(AB119+AC119)/Z119</f>
        <v>1.7667844522968199E-2</v>
      </c>
      <c r="K119" s="181">
        <f>Y119/P119</f>
        <v>0.25799793601651189</v>
      </c>
      <c r="L119" s="181">
        <f>(X119+AA119)/P119</f>
        <v>6.1919504643962849E-2</v>
      </c>
      <c r="M119" s="190">
        <f>(1-D119*0.7635+1-E119*0.7562+1-F119*0.75+1-G119*0.7248+1-H119*0.7021+1-I119*0.6285+J119*0.5884+K119*0.5276+1-L119*0.3663)/11.068</f>
        <v>0.52067064019748877</v>
      </c>
      <c r="N119" s="191">
        <f>M119/0.4939*100</f>
        <v>105.42025515235649</v>
      </c>
      <c r="O119" s="192">
        <f>(N119-100)/100*P119*0.6611</f>
        <v>34.722474301049658</v>
      </c>
      <c r="P119" s="197">
        <v>969</v>
      </c>
      <c r="Q119" s="188">
        <f>P119-X119-AA119-AB119-AC119</f>
        <v>904</v>
      </c>
      <c r="R119" s="197">
        <v>73</v>
      </c>
      <c r="S119" s="197">
        <v>174</v>
      </c>
      <c r="T119" s="197">
        <v>31</v>
      </c>
      <c r="U119" s="197">
        <v>3</v>
      </c>
      <c r="V119" s="197">
        <v>24</v>
      </c>
      <c r="W119" s="188" t="s">
        <v>19</v>
      </c>
      <c r="X119" s="197">
        <v>57</v>
      </c>
      <c r="Y119" s="197">
        <v>250</v>
      </c>
      <c r="Z119" s="188">
        <f>S119+T119+U119*2+V119*3</f>
        <v>283</v>
      </c>
      <c r="AA119" s="197">
        <v>3</v>
      </c>
      <c r="AB119" s="197">
        <v>2</v>
      </c>
      <c r="AC119" s="197">
        <v>3</v>
      </c>
      <c r="AD119" s="9"/>
      <c r="AE119" s="37"/>
      <c r="AF119" s="37"/>
      <c r="AG119" s="37"/>
      <c r="AH119" s="37"/>
      <c r="AI119" s="37"/>
      <c r="AJ119" s="38"/>
      <c r="AK119" s="37"/>
      <c r="AL119" s="38"/>
    </row>
    <row r="120" spans="1:39" x14ac:dyDescent="0.2">
      <c r="A120" s="9"/>
      <c r="B120" s="196">
        <v>1979</v>
      </c>
      <c r="C120" s="207" t="s">
        <v>374</v>
      </c>
      <c r="D120" s="180">
        <f>(S120-V120)/(Q120-V120-Y120+AC120)</f>
        <v>0.37689393939393939</v>
      </c>
      <c r="E120" s="180">
        <f>Z120/P120</f>
        <v>0.4484240687679083</v>
      </c>
      <c r="F120" s="180">
        <f>(T120+U120+V120)/S120</f>
        <v>0.33333333333333331</v>
      </c>
      <c r="G120" s="180">
        <f>(Z120+W120)/P120</f>
        <v>0.59885386819484243</v>
      </c>
      <c r="H120" s="180">
        <f>(Z120/Q120)+((S120+X120+AA120)/(Q120+X120+AA120+AC120))</f>
        <v>0.93002019822443516</v>
      </c>
      <c r="I120" s="180">
        <f>V120/Z120</f>
        <v>3.5143769968051117E-2</v>
      </c>
      <c r="J120" s="180">
        <f>(AB120+AC120)/Z120</f>
        <v>2.2364217252396165E-2</v>
      </c>
      <c r="K120" s="180">
        <f>Y120/P120</f>
        <v>0.11174785100286533</v>
      </c>
      <c r="L120" s="180">
        <f>(X120+AA120)/P120</f>
        <v>0.11604584527220631</v>
      </c>
      <c r="M120" s="186">
        <f>(D120*0.7635+E120*0.7562+F120*0.75+G120*0.7248+H120*0.7021+I120*0.6285+1-J120*0.5884+1-K120*0.5276+L120*0.3663)/6.931</f>
        <v>0.57081971566848511</v>
      </c>
      <c r="N120" s="187">
        <f>M120/0.5078*100</f>
        <v>112.41034180159217</v>
      </c>
      <c r="O120" s="283">
        <f>(N120-100)/100*P120*0.3389</f>
        <v>29.356936559185907</v>
      </c>
      <c r="P120" s="197">
        <v>698</v>
      </c>
      <c r="Q120" s="188">
        <f>P120-X120-AA120-AB120-AC120</f>
        <v>610</v>
      </c>
      <c r="R120" s="188" t="s">
        <v>19</v>
      </c>
      <c r="S120" s="197">
        <v>210</v>
      </c>
      <c r="T120" s="197">
        <v>48</v>
      </c>
      <c r="U120" s="197">
        <v>11</v>
      </c>
      <c r="V120" s="197">
        <v>11</v>
      </c>
      <c r="W120" s="197">
        <v>105</v>
      </c>
      <c r="X120" s="197">
        <v>80</v>
      </c>
      <c r="Y120" s="197">
        <v>78</v>
      </c>
      <c r="Z120" s="188">
        <f>S120+T120+U120*2+V120*3</f>
        <v>313</v>
      </c>
      <c r="AA120" s="197">
        <v>1</v>
      </c>
      <c r="AB120" s="197">
        <v>0</v>
      </c>
      <c r="AC120" s="197">
        <v>7</v>
      </c>
      <c r="AD120" s="9"/>
      <c r="AE120" s="37"/>
      <c r="AF120" s="37"/>
      <c r="AG120" s="37"/>
      <c r="AH120" s="37"/>
      <c r="AI120" s="37"/>
      <c r="AJ120" s="38"/>
      <c r="AK120" s="37"/>
      <c r="AL120" s="38"/>
    </row>
    <row r="121" spans="1:39" x14ac:dyDescent="0.2">
      <c r="A121" s="9"/>
      <c r="B121" s="196">
        <v>1964</v>
      </c>
      <c r="C121" s="207" t="s">
        <v>388</v>
      </c>
      <c r="D121" s="180">
        <f>(S121-V121)/(Q121-V121-Y121+AC121)</f>
        <v>0.30608365019011408</v>
      </c>
      <c r="E121" s="180">
        <f>Z121/P121</f>
        <v>0.43422913719943423</v>
      </c>
      <c r="F121" s="180">
        <f>(T121+U121+V121)/S121</f>
        <v>0.34594594594594597</v>
      </c>
      <c r="G121" s="180">
        <f>(Z121+W121)/P121</f>
        <v>0.60254596888260259</v>
      </c>
      <c r="H121" s="180">
        <f>(Z121/Q121)+((S121+X121+AA121)/(Q121+X121+AA121+AC121))</f>
        <v>0.85003709789136028</v>
      </c>
      <c r="I121" s="180">
        <f>V121/Z121</f>
        <v>7.8175895765472306E-2</v>
      </c>
      <c r="J121" s="180">
        <f>(AB121+AC121)/Z121</f>
        <v>1.3029315960912053E-2</v>
      </c>
      <c r="K121" s="180">
        <f>Y121/P121</f>
        <v>0.12022630834512023</v>
      </c>
      <c r="L121" s="180">
        <f>(X121+AA121)/P121</f>
        <v>0.10183875530410184</v>
      </c>
      <c r="M121" s="186">
        <f>(D121*0.7635+E121*0.7562+F121*0.75+G121*0.7248+H121*0.7021+I121*0.6285+1-J121*0.5884+1-K121*0.5276+L121*0.3663)/6.931</f>
        <v>0.55841783312186744</v>
      </c>
      <c r="N121" s="187">
        <f>M121/0.4967*100</f>
        <v>112.42557542215974</v>
      </c>
      <c r="O121" s="283">
        <f>(N121-100)/100*P121*0.3389</f>
        <v>29.771964499729442</v>
      </c>
      <c r="P121" s="197">
        <v>707</v>
      </c>
      <c r="Q121" s="188">
        <f>P121-X121-AA121-AB121-AC121</f>
        <v>631</v>
      </c>
      <c r="R121" s="188" t="s">
        <v>19</v>
      </c>
      <c r="S121" s="197">
        <v>185</v>
      </c>
      <c r="T121" s="197">
        <v>30</v>
      </c>
      <c r="U121" s="197">
        <v>10</v>
      </c>
      <c r="V121" s="197">
        <v>24</v>
      </c>
      <c r="W121" s="197">
        <v>119</v>
      </c>
      <c r="X121" s="197">
        <v>70</v>
      </c>
      <c r="Y121" s="197">
        <v>85</v>
      </c>
      <c r="Z121" s="188">
        <f>S121+T121+U121*2+V121*3</f>
        <v>307</v>
      </c>
      <c r="AA121" s="197">
        <v>2</v>
      </c>
      <c r="AB121" s="197">
        <v>0</v>
      </c>
      <c r="AC121" s="197">
        <v>4</v>
      </c>
      <c r="AD121" s="9"/>
      <c r="AE121" s="37"/>
      <c r="AF121" s="37"/>
      <c r="AG121" s="37"/>
      <c r="AH121" s="37"/>
      <c r="AI121" s="37"/>
      <c r="AJ121" s="38"/>
      <c r="AK121" s="37"/>
      <c r="AL121" s="38"/>
    </row>
    <row r="122" spans="1:39" x14ac:dyDescent="0.2">
      <c r="A122" s="9"/>
      <c r="B122" s="196">
        <v>1996</v>
      </c>
      <c r="C122" s="207" t="s">
        <v>361</v>
      </c>
      <c r="D122" s="180">
        <f>(S122-V122)/(Q122-V122-Y122+AC122)</f>
        <v>0.33014354066985646</v>
      </c>
      <c r="E122" s="180">
        <f>Z122/P122</f>
        <v>0.53051643192488263</v>
      </c>
      <c r="F122" s="180">
        <f>(T122+U122+V122)/S122</f>
        <v>0.4438202247191011</v>
      </c>
      <c r="G122" s="180">
        <f>(Z122+W122)/P122</f>
        <v>0.7339593114241002</v>
      </c>
      <c r="H122" s="180">
        <f>(Z122/Q122)+((S122+X122+AA122)/(Q122+X122+AA122+AC122))</f>
        <v>1.0266298174993491</v>
      </c>
      <c r="I122" s="180">
        <f>V122/Z122</f>
        <v>0.11799410029498525</v>
      </c>
      <c r="J122" s="180">
        <f>(AB122+AC122)/Z122</f>
        <v>2.9498525073746312E-2</v>
      </c>
      <c r="K122" s="180">
        <f>Y122/P122</f>
        <v>0.15492957746478872</v>
      </c>
      <c r="L122" s="180">
        <f>(X122+AA122)/P122</f>
        <v>0.12832550860719874</v>
      </c>
      <c r="M122" s="186">
        <f>(D122*0.7635+E122*0.7562+F122*0.75+G122*0.7248+H122*0.7021+I122*0.6285+1-J122*0.5884+1-K122*0.5276+L122*0.3663)/6.931</f>
        <v>0.61476611456690788</v>
      </c>
      <c r="N122" s="187">
        <f>M122/0.5238*100</f>
        <v>117.36657399139135</v>
      </c>
      <c r="O122" s="283">
        <f>(N122-100)/100*P122*0.3389</f>
        <v>37.608549005111357</v>
      </c>
      <c r="P122" s="197">
        <v>639</v>
      </c>
      <c r="Q122" s="188">
        <f>P122-X122-AA122-AB122-AC122</f>
        <v>547</v>
      </c>
      <c r="R122" s="188" t="s">
        <v>19</v>
      </c>
      <c r="S122" s="197">
        <v>178</v>
      </c>
      <c r="T122" s="197">
        <v>37</v>
      </c>
      <c r="U122" s="197">
        <v>2</v>
      </c>
      <c r="V122" s="197">
        <v>40</v>
      </c>
      <c r="W122" s="197">
        <v>130</v>
      </c>
      <c r="X122" s="197">
        <v>78</v>
      </c>
      <c r="Y122" s="197">
        <v>99</v>
      </c>
      <c r="Z122" s="188">
        <f>S122+T122+U122*2+V122*3</f>
        <v>339</v>
      </c>
      <c r="AA122" s="197">
        <v>4</v>
      </c>
      <c r="AB122" s="197">
        <v>0</v>
      </c>
      <c r="AC122" s="197">
        <v>10</v>
      </c>
      <c r="AD122" s="9"/>
      <c r="AE122" s="37"/>
      <c r="AF122" s="37"/>
      <c r="AG122" s="37"/>
      <c r="AH122" s="37"/>
      <c r="AI122" s="37"/>
      <c r="AJ122" s="134"/>
      <c r="AK122" s="37"/>
      <c r="AL122" s="38"/>
    </row>
    <row r="123" spans="1:39" x14ac:dyDescent="0.2">
      <c r="A123" s="9"/>
      <c r="B123" s="196">
        <v>1997</v>
      </c>
      <c r="C123" s="207" t="s">
        <v>38</v>
      </c>
      <c r="D123" s="180">
        <f>(S123-V123)/(Q123-V123-Y123+AC123)</f>
        <v>0.29119638826185101</v>
      </c>
      <c r="E123" s="180">
        <f>Z123/P123</f>
        <v>0.55823863636363635</v>
      </c>
      <c r="F123" s="180">
        <f>(T123+U123+V123)/S123</f>
        <v>0.50270270270270268</v>
      </c>
      <c r="G123" s="180">
        <f>(Z123+W123)/P123</f>
        <v>0.76704545454545459</v>
      </c>
      <c r="H123" s="180">
        <f>(Z123/Q123)+((S123+X123+AA123)/(Q123+X123+AA123+AC123))</f>
        <v>1.0284838516746411</v>
      </c>
      <c r="I123" s="180">
        <f>V123/Z123</f>
        <v>0.14249363867684478</v>
      </c>
      <c r="J123" s="180">
        <f>(AB123+AC123)/Z123</f>
        <v>3.0534351145038167E-2</v>
      </c>
      <c r="K123" s="180">
        <f>Y123/P123</f>
        <v>0.171875</v>
      </c>
      <c r="L123" s="180">
        <f>(X123+AA123)/P123</f>
        <v>0.11931818181818182</v>
      </c>
      <c r="M123" s="186">
        <f>(D123*0.7635+E123*0.7562+F123*0.75+G123*0.7248+H123*0.7021+I123*0.6285+1-J123*0.5884+1-K123*0.5276+L123*0.3663)/6.931</f>
        <v>0.6238875232568315</v>
      </c>
      <c r="N123" s="187">
        <f>M123/0.5199*100</f>
        <v>120.00144705844036</v>
      </c>
      <c r="O123" s="283">
        <f>(N123-100)/100*P123*0.3389</f>
        <v>47.72057247306229</v>
      </c>
      <c r="P123" s="197">
        <v>704</v>
      </c>
      <c r="Q123" s="188">
        <f>P123-X123-AA123-AB123-AC123</f>
        <v>608</v>
      </c>
      <c r="R123" s="188" t="s">
        <v>19</v>
      </c>
      <c r="S123" s="197">
        <v>185</v>
      </c>
      <c r="T123" s="197">
        <v>34</v>
      </c>
      <c r="U123" s="197">
        <v>3</v>
      </c>
      <c r="V123" s="197">
        <v>56</v>
      </c>
      <c r="W123" s="197">
        <v>147</v>
      </c>
      <c r="X123" s="197">
        <v>76</v>
      </c>
      <c r="Y123" s="197">
        <v>121</v>
      </c>
      <c r="Z123" s="188">
        <f>S123+T123+U123*2+V123*3</f>
        <v>393</v>
      </c>
      <c r="AA123" s="197">
        <v>8</v>
      </c>
      <c r="AB123" s="197">
        <v>0</v>
      </c>
      <c r="AC123" s="197">
        <v>12</v>
      </c>
      <c r="AD123" s="9"/>
      <c r="AE123" s="37"/>
      <c r="AF123" s="37"/>
      <c r="AG123" s="37"/>
      <c r="AH123" s="37"/>
      <c r="AI123" s="37"/>
      <c r="AJ123" s="38"/>
      <c r="AK123" s="37"/>
      <c r="AL123" s="38"/>
    </row>
    <row r="124" spans="1:39" x14ac:dyDescent="0.2">
      <c r="A124" s="9"/>
      <c r="B124" s="196">
        <v>1989</v>
      </c>
      <c r="C124" s="207" t="s">
        <v>364</v>
      </c>
      <c r="D124" s="180">
        <f>(S124-V124)/(Q124-V124-Y124+AC124)</f>
        <v>0.28608247422680411</v>
      </c>
      <c r="E124" s="180">
        <f>Z124/P124</f>
        <v>0.5390625</v>
      </c>
      <c r="F124" s="180">
        <f>(T124+U124+V124)/S124</f>
        <v>0.55063291139240511</v>
      </c>
      <c r="G124" s="180">
        <f>(Z124+W124)/P124</f>
        <v>0.734375</v>
      </c>
      <c r="H124" s="180">
        <f>(Z124/Q124)+((S124+X124+AA124)/(Q124+X124+AA124+AC124))</f>
        <v>1.0228591160220994</v>
      </c>
      <c r="I124" s="180">
        <f>V124/Z124</f>
        <v>0.13623188405797101</v>
      </c>
      <c r="J124" s="180">
        <f>(AB124+AC124)/Z124</f>
        <v>2.0289855072463767E-2</v>
      </c>
      <c r="K124" s="180">
        <f>Y124/P124</f>
        <v>0.1796875</v>
      </c>
      <c r="L124" s="180">
        <f>(X124+AA124)/P124</f>
        <v>0.140625</v>
      </c>
      <c r="M124" s="186">
        <f>(D124*0.7635+E124*0.7562+F124*0.75+G124*0.7248+H124*0.7021+I124*0.6285+1-J124*0.5884+1-K124*0.5276+L124*0.3663)/6.931</f>
        <v>0.62326548858481912</v>
      </c>
      <c r="N124" s="187">
        <f>M124/0.497*100</f>
        <v>125.40553090237809</v>
      </c>
      <c r="O124" s="283">
        <f>(N124-100)/100*P124*0.3389</f>
        <v>55.103580306021975</v>
      </c>
      <c r="P124" s="197">
        <v>640</v>
      </c>
      <c r="Q124" s="188">
        <f>P124-X124-AA124-AB124-AC124</f>
        <v>543</v>
      </c>
      <c r="R124" s="188" t="s">
        <v>19</v>
      </c>
      <c r="S124" s="197">
        <v>158</v>
      </c>
      <c r="T124" s="197">
        <v>34</v>
      </c>
      <c r="U124" s="197">
        <v>6</v>
      </c>
      <c r="V124" s="197">
        <v>47</v>
      </c>
      <c r="W124" s="197">
        <v>125</v>
      </c>
      <c r="X124" s="197">
        <v>87</v>
      </c>
      <c r="Y124" s="197">
        <v>115</v>
      </c>
      <c r="Z124" s="188">
        <f>S124+T124+U124*2+V124*3</f>
        <v>345</v>
      </c>
      <c r="AA124" s="197">
        <v>3</v>
      </c>
      <c r="AB124" s="197">
        <v>0</v>
      </c>
      <c r="AC124" s="197">
        <v>7</v>
      </c>
      <c r="AD124" s="9"/>
      <c r="AE124" s="37"/>
      <c r="AF124" s="37"/>
      <c r="AG124" s="37"/>
      <c r="AH124" s="37"/>
      <c r="AI124" s="37"/>
      <c r="AJ124" s="38"/>
      <c r="AK124" s="37"/>
      <c r="AL124" s="38"/>
    </row>
    <row r="125" spans="1:39" x14ac:dyDescent="0.2">
      <c r="A125" s="9"/>
      <c r="B125" s="196">
        <v>1988</v>
      </c>
      <c r="C125" s="207" t="s">
        <v>366</v>
      </c>
      <c r="D125" s="180">
        <f>(S125-V125)/(Q125-V125-Y125+AC125)</f>
        <v>0.32673267326732675</v>
      </c>
      <c r="E125" s="180">
        <f>Z125/P125</f>
        <v>0.41455696202531644</v>
      </c>
      <c r="F125" s="180">
        <f>(T125+U125+V125)/S125</f>
        <v>0.34394904458598724</v>
      </c>
      <c r="G125" s="180">
        <f>(Z125+W125)/P125</f>
        <v>0.53481012658227844</v>
      </c>
      <c r="H125" s="180">
        <f>(Z125/Q125)+((S125+X125+AA125)/(Q125+X125+AA125+AC125))</f>
        <v>0.860183387207481</v>
      </c>
      <c r="I125" s="180">
        <f>V125/Z125</f>
        <v>9.5419847328244281E-2</v>
      </c>
      <c r="J125" s="180">
        <f>(AB125+AC125)/Z125</f>
        <v>3.8167938931297711E-2</v>
      </c>
      <c r="K125" s="180">
        <f>Y125/P125</f>
        <v>0.189873417721519</v>
      </c>
      <c r="L125" s="180">
        <f>(X125+AA125)/P125</f>
        <v>0.12658227848101267</v>
      </c>
      <c r="M125" s="186">
        <f>(D125*0.7635+E125*0.7562+F125*0.75+G125*0.7248+H125*0.7021+I125*0.6285+1-J125*0.5884+1-K125*0.5276+L125*0.3663)/6.931</f>
        <v>0.54771007390913196</v>
      </c>
      <c r="N125" s="187">
        <f>M125/0.4982*100</f>
        <v>109.93779082881012</v>
      </c>
      <c r="O125" s="283">
        <f>(N125-100)/100*P125*0.3389</f>
        <v>21.285237411105303</v>
      </c>
      <c r="P125" s="197">
        <v>632</v>
      </c>
      <c r="Q125" s="188">
        <f>P125-X125-AA125-AB125-AC125</f>
        <v>542</v>
      </c>
      <c r="R125" s="188" t="s">
        <v>19</v>
      </c>
      <c r="S125" s="197">
        <v>157</v>
      </c>
      <c r="T125" s="197">
        <v>28</v>
      </c>
      <c r="U125" s="197">
        <v>1</v>
      </c>
      <c r="V125" s="197">
        <v>25</v>
      </c>
      <c r="W125" s="197">
        <v>76</v>
      </c>
      <c r="X125" s="197">
        <v>73</v>
      </c>
      <c r="Y125" s="197">
        <v>120</v>
      </c>
      <c r="Z125" s="188">
        <f>S125+T125+U125*2+V125*3</f>
        <v>262</v>
      </c>
      <c r="AA125" s="197">
        <v>7</v>
      </c>
      <c r="AB125" s="197">
        <v>3</v>
      </c>
      <c r="AC125" s="197">
        <v>7</v>
      </c>
      <c r="AD125" s="9"/>
      <c r="AE125" s="37"/>
      <c r="AF125" s="37"/>
      <c r="AG125" s="37"/>
      <c r="AH125" s="37"/>
      <c r="AI125" s="37"/>
      <c r="AJ125" s="38"/>
      <c r="AK125" s="37"/>
      <c r="AL125" s="38"/>
    </row>
    <row r="126" spans="1:39" x14ac:dyDescent="0.2">
      <c r="A126" s="9"/>
      <c r="B126" s="196">
        <v>2016</v>
      </c>
      <c r="C126" s="207" t="s">
        <v>338</v>
      </c>
      <c r="D126" s="180">
        <f>(S126-V126)/(Q126-V126-Y126+AC126)</f>
        <v>0.33171912832929784</v>
      </c>
      <c r="E126" s="180">
        <f>Z126/P126</f>
        <v>0.47782546494992845</v>
      </c>
      <c r="F126" s="180">
        <f>(T126+U126+V126)/S126</f>
        <v>0.4375</v>
      </c>
      <c r="G126" s="180">
        <f>(Z126+W126)/P126</f>
        <v>0.62374821173104433</v>
      </c>
      <c r="H126" s="180">
        <f>(Z126/Q126)+((S126+X126+AA126)/(Q126+X126+AA126+AC126))</f>
        <v>0.93873266001893252</v>
      </c>
      <c r="I126" s="180">
        <f>V126/Z126</f>
        <v>0.11676646706586827</v>
      </c>
      <c r="J126" s="180">
        <f>(AB126+AC126)/Z126</f>
        <v>8.9820359281437123E-3</v>
      </c>
      <c r="K126" s="180">
        <f>Y126/P126</f>
        <v>0.22031473533619456</v>
      </c>
      <c r="L126" s="180">
        <f>(X126+AA126)/P126</f>
        <v>0.13304721030042918</v>
      </c>
      <c r="M126" s="186">
        <f>(D126*0.7635+E126*0.7562+F126*0.75+G126*0.7248+H126*0.7021+I126*0.6285+1-J126*0.5884+1-K126*0.5276+L126*0.3663)/6.931</f>
        <v>0.58498065342908057</v>
      </c>
      <c r="N126" s="187">
        <f>M126/0.5193*100</f>
        <v>112.64792093762384</v>
      </c>
      <c r="O126" s="283">
        <f>(N126-100)/100*P126*0.3389</f>
        <v>29.961799036267422</v>
      </c>
      <c r="P126" s="197">
        <v>699</v>
      </c>
      <c r="Q126" s="188">
        <f>P126-X126-AA126-AB126-AC126</f>
        <v>603</v>
      </c>
      <c r="R126" s="188" t="s">
        <v>19</v>
      </c>
      <c r="S126" s="197">
        <v>176</v>
      </c>
      <c r="T126" s="197">
        <v>35</v>
      </c>
      <c r="U126" s="197">
        <v>3</v>
      </c>
      <c r="V126" s="197">
        <v>39</v>
      </c>
      <c r="W126" s="197">
        <v>102</v>
      </c>
      <c r="X126" s="197">
        <v>75</v>
      </c>
      <c r="Y126" s="197">
        <v>154</v>
      </c>
      <c r="Z126" s="188">
        <f>S126+T126+U126*2+V126*3</f>
        <v>334</v>
      </c>
      <c r="AA126" s="197">
        <v>18</v>
      </c>
      <c r="AB126" s="197">
        <v>0</v>
      </c>
      <c r="AC126" s="197">
        <v>3</v>
      </c>
      <c r="AD126" s="9"/>
      <c r="AE126" s="37"/>
      <c r="AF126" s="37"/>
      <c r="AG126" s="37"/>
      <c r="AH126" s="37"/>
      <c r="AI126" s="37"/>
      <c r="AJ126" s="38"/>
      <c r="AK126" s="37"/>
      <c r="AL126" s="38"/>
    </row>
    <row r="127" spans="1:39" x14ac:dyDescent="0.2">
      <c r="A127" s="9"/>
      <c r="B127" s="196">
        <v>1912</v>
      </c>
      <c r="C127" s="207" t="s">
        <v>411</v>
      </c>
      <c r="D127" s="180">
        <f>(S127-V127)/(Q127-V127-Y127+AC127)</f>
        <v>0.32954545454545453</v>
      </c>
      <c r="E127" s="180">
        <f>Z127/P127</f>
        <v>0.41812400635930047</v>
      </c>
      <c r="F127" s="180">
        <f>(T127+U127+V127)/S127</f>
        <v>0.27717391304347827</v>
      </c>
      <c r="G127" s="180">
        <f>(Z127+W127)/P127</f>
        <v>0.56279809220985688</v>
      </c>
      <c r="H127" s="180">
        <f>(Z127/Q127)+((S127+X127+AA127)/(Q127+X127+AA127+AC127))</f>
        <v>0.86844484629294749</v>
      </c>
      <c r="I127" s="180">
        <f>V127/Z127</f>
        <v>3.8022813688212927E-2</v>
      </c>
      <c r="J127" s="180">
        <f>(AB127+AC127)/Z127</f>
        <v>6.8441064638783272E-2</v>
      </c>
      <c r="K127" s="180">
        <f>Y127/P127</f>
        <v>3.1796502384737677E-2</v>
      </c>
      <c r="L127" s="180">
        <f>(X127+AA127)/P127</f>
        <v>9.2209856915739269E-2</v>
      </c>
      <c r="M127" s="186">
        <f>(D127*0.7635+E127*0.7562+F127*0.75+G127*0.7248+H127*0.7021+I127*0.6285+1-J127*0.5884+1-K127*0.5276+L127*0.3663)/6.931</f>
        <v>0.54738886144172239</v>
      </c>
      <c r="N127" s="187">
        <f>M127/0.4825*100</f>
        <v>113.44846869258495</v>
      </c>
      <c r="O127" s="283">
        <f>(N127-100)/100*P127*0.3389</f>
        <v>28.667845191078182</v>
      </c>
      <c r="P127" s="197">
        <v>629</v>
      </c>
      <c r="Q127" s="189">
        <f>P127-X127-AA127-AB127-AC127</f>
        <v>553</v>
      </c>
      <c r="R127" s="188" t="s">
        <v>19</v>
      </c>
      <c r="S127" s="197">
        <v>184</v>
      </c>
      <c r="T127" s="197">
        <v>33</v>
      </c>
      <c r="U127" s="197">
        <v>8</v>
      </c>
      <c r="V127" s="197">
        <v>10</v>
      </c>
      <c r="W127" s="197">
        <v>91</v>
      </c>
      <c r="X127" s="197">
        <v>56</v>
      </c>
      <c r="Y127" s="197">
        <v>20</v>
      </c>
      <c r="Z127" s="188">
        <f>S127+T127+U127*2+V127*3</f>
        <v>263</v>
      </c>
      <c r="AA127" s="197">
        <v>2</v>
      </c>
      <c r="AB127" s="197">
        <v>13</v>
      </c>
      <c r="AC127" s="199">
        <v>5</v>
      </c>
      <c r="AD127" s="9"/>
      <c r="AE127" s="37"/>
      <c r="AF127" s="37"/>
      <c r="AG127" s="37"/>
      <c r="AH127" s="37"/>
      <c r="AI127" s="37"/>
      <c r="AJ127" s="38"/>
      <c r="AK127" s="37"/>
      <c r="AL127" s="38"/>
    </row>
    <row r="128" spans="1:39" x14ac:dyDescent="0.2">
      <c r="A128" s="9"/>
      <c r="B128" s="196">
        <v>1997</v>
      </c>
      <c r="C128" s="207" t="s">
        <v>21</v>
      </c>
      <c r="D128" s="180">
        <f>(S128-V128)/(Q128-V128-Y128+AC128)</f>
        <v>0.3672055427251732</v>
      </c>
      <c r="E128" s="180">
        <f>Z128/P128</f>
        <v>0.61596385542168675</v>
      </c>
      <c r="F128" s="180">
        <f>(T128+U128+V128)/S128</f>
        <v>0.47596153846153844</v>
      </c>
      <c r="G128" s="180">
        <f>(Z128+W128)/P128</f>
        <v>0.81174698795180722</v>
      </c>
      <c r="H128" s="180">
        <f>(Z128/Q128)+((S128+X128+AA128)/(Q128+X128+AA128+AC128))</f>
        <v>1.171877651450874</v>
      </c>
      <c r="I128" s="180">
        <f>V128/Z128</f>
        <v>0.11980440097799511</v>
      </c>
      <c r="J128" s="180">
        <f>(AB128+AC128)/Z128</f>
        <v>9.7799511002444987E-3</v>
      </c>
      <c r="K128" s="180">
        <f>Y128/P128</f>
        <v>0.13554216867469879</v>
      </c>
      <c r="L128" s="180">
        <f>(X128+AA128)/P128</f>
        <v>0.13855421686746988</v>
      </c>
      <c r="M128" s="186">
        <f>(D128*0.7635+E128*0.7562+F128*0.75+G128*0.7248+H128*0.7021+I128*0.6285+1-J128*0.5884+1-K128*0.5276+L128*0.3663)/6.931</f>
        <v>0.65835187900315995</v>
      </c>
      <c r="N128" s="187">
        <f>M128/0.5199*100</f>
        <v>126.6304825934141</v>
      </c>
      <c r="O128" s="283">
        <f>(N128-100)/100*P128*0.3389</f>
        <v>59.926468458029369</v>
      </c>
      <c r="P128" s="197">
        <v>664</v>
      </c>
      <c r="Q128" s="188">
        <f>P128-X128-AA128-AB128-AC128</f>
        <v>568</v>
      </c>
      <c r="R128" s="188" t="s">
        <v>19</v>
      </c>
      <c r="S128" s="197">
        <v>208</v>
      </c>
      <c r="T128" s="197">
        <v>46</v>
      </c>
      <c r="U128" s="197">
        <v>4</v>
      </c>
      <c r="V128" s="197">
        <v>49</v>
      </c>
      <c r="W128" s="197">
        <v>130</v>
      </c>
      <c r="X128" s="197">
        <v>78</v>
      </c>
      <c r="Y128" s="197">
        <v>90</v>
      </c>
      <c r="Z128" s="188">
        <f>S128+T128+U128*2+V128*3</f>
        <v>409</v>
      </c>
      <c r="AA128" s="197">
        <v>14</v>
      </c>
      <c r="AB128" s="197">
        <v>0</v>
      </c>
      <c r="AC128" s="197">
        <v>4</v>
      </c>
      <c r="AD128" s="9"/>
      <c r="AE128" s="37"/>
      <c r="AF128" s="37"/>
      <c r="AG128" s="37"/>
      <c r="AH128" s="37"/>
      <c r="AI128" s="37"/>
      <c r="AJ128" s="38"/>
      <c r="AK128" s="37"/>
      <c r="AL128" s="38"/>
    </row>
    <row r="129" spans="1:38" x14ac:dyDescent="0.2">
      <c r="A129" s="9"/>
      <c r="B129" s="210">
        <v>1931</v>
      </c>
      <c r="C129" s="211" t="s">
        <v>240</v>
      </c>
      <c r="D129" s="181">
        <f>(S129-V129)/(Q129-V129-Y129+AC129)</f>
        <v>0.26496674057649666</v>
      </c>
      <c r="E129" s="181">
        <f>Z129/P129</f>
        <v>0.28990509059534081</v>
      </c>
      <c r="F129" s="181">
        <f>(T129+U129+V129)/S129</f>
        <v>0.2289156626506024</v>
      </c>
      <c r="G129" s="181">
        <f>(Z129+R129)/P129</f>
        <v>0.36238136324417602</v>
      </c>
      <c r="H129" s="181">
        <f>(Z129/Q129)+((S129+X129+AA129)/(Q129+X129+AA129+AC129))</f>
        <v>0.5829926595143986</v>
      </c>
      <c r="I129" s="181">
        <f>V129/Z129</f>
        <v>2.976190476190476E-2</v>
      </c>
      <c r="J129" s="181">
        <f>(AB129+AC129)/Z129</f>
        <v>5.3571428571428568E-2</v>
      </c>
      <c r="K129" s="181">
        <f>Y129/P129</f>
        <v>0.15099223468507333</v>
      </c>
      <c r="L129" s="181">
        <f>(X129+AA129)/P129</f>
        <v>5.4357204486626405E-2</v>
      </c>
      <c r="M129" s="190">
        <f>(1-D129*0.7635+1-E129*0.7562+1-F129*0.75+1-G129*0.7248+1-H129*0.7021+1-I129*0.6285+J129*0.5884+K129*0.5276+1-L129*0.3663)/11.068</f>
        <v>0.52470006226908406</v>
      </c>
      <c r="N129" s="191">
        <f>M129/0.496*100</f>
        <v>105.78630287683146</v>
      </c>
      <c r="O129" s="192">
        <f>(N129-100)/100*P129*0.6611</f>
        <v>44.335514801411264</v>
      </c>
      <c r="P129" s="197">
        <v>1159</v>
      </c>
      <c r="Q129" s="189">
        <f>P129-X129-AA129-AB129-AC129</f>
        <v>1078</v>
      </c>
      <c r="R129" s="197">
        <v>84</v>
      </c>
      <c r="S129" s="197">
        <v>249</v>
      </c>
      <c r="T129" s="197">
        <v>37</v>
      </c>
      <c r="U129" s="197">
        <v>10</v>
      </c>
      <c r="V129" s="197">
        <v>10</v>
      </c>
      <c r="W129" s="197"/>
      <c r="X129" s="197">
        <v>62</v>
      </c>
      <c r="Y129" s="197">
        <v>175</v>
      </c>
      <c r="Z129" s="188">
        <f>S129+T129+U129*2+V129*3</f>
        <v>336</v>
      </c>
      <c r="AA129" s="197">
        <v>1</v>
      </c>
      <c r="AB129" s="197">
        <v>9</v>
      </c>
      <c r="AC129" s="199">
        <v>9</v>
      </c>
      <c r="AD129" s="9"/>
      <c r="AE129" s="37"/>
      <c r="AF129" s="37"/>
      <c r="AG129" s="37"/>
      <c r="AH129" s="37"/>
      <c r="AI129" s="37"/>
      <c r="AJ129" s="38"/>
      <c r="AK129" s="37"/>
      <c r="AL129" s="38"/>
    </row>
    <row r="130" spans="1:38" x14ac:dyDescent="0.2">
      <c r="A130" s="9"/>
      <c r="B130" s="196">
        <v>1948</v>
      </c>
      <c r="C130" s="207" t="s">
        <v>184</v>
      </c>
      <c r="D130" s="180">
        <f>(S130-V130)/(Q130-V130-Y130+AC130)</f>
        <v>0.33958724202626639</v>
      </c>
      <c r="E130" s="180">
        <f>Z130/P130</f>
        <v>0.44230769230769229</v>
      </c>
      <c r="F130" s="180">
        <f>(T130+U130+V130)/S130</f>
        <v>0.29145728643216079</v>
      </c>
      <c r="G130" s="180">
        <f>(Z130+W130)/P130</f>
        <v>0.59911242603550297</v>
      </c>
      <c r="H130" s="180">
        <f>(Z130/Q130)+((S130+X130+AA130)/(Q130+X130+AA130+AC130))</f>
        <v>0.99274149436604309</v>
      </c>
      <c r="I130" s="180">
        <f>V130/Z130</f>
        <v>6.0200668896321072E-2</v>
      </c>
      <c r="J130" s="180">
        <f>(AB130+AC130)/Z130</f>
        <v>7.3578595317725759E-2</v>
      </c>
      <c r="K130" s="228">
        <f>Y130/P130</f>
        <v>1.3313609467455622E-2</v>
      </c>
      <c r="L130" s="180">
        <f>(X130+AA130)/P130</f>
        <v>0.14792899408284024</v>
      </c>
      <c r="M130" s="186">
        <f>(D130*0.7635+E130*0.7562+F130*0.75+G130*0.7248+H130*0.7021+I130*0.6285+1-J130*0.5884+1-K130*0.5276+L130*0.3663)/6.931</f>
        <v>0.57499437248782082</v>
      </c>
      <c r="N130" s="187">
        <f>M130/0.5008*100</f>
        <v>114.81517022520381</v>
      </c>
      <c r="O130" s="283">
        <f>(N130-100)/100*P130*0.3389</f>
        <v>33.941021639813833</v>
      </c>
      <c r="P130" s="197">
        <v>676</v>
      </c>
      <c r="Q130" s="189">
        <f>P130-X130-AA130-AB130-AC130</f>
        <v>554</v>
      </c>
      <c r="R130" s="188" t="s">
        <v>19</v>
      </c>
      <c r="S130" s="197">
        <v>199</v>
      </c>
      <c r="T130" s="197">
        <v>34</v>
      </c>
      <c r="U130" s="197">
        <v>6</v>
      </c>
      <c r="V130" s="197">
        <v>18</v>
      </c>
      <c r="W130" s="197">
        <v>106</v>
      </c>
      <c r="X130" s="197">
        <v>98</v>
      </c>
      <c r="Y130" s="197">
        <v>9</v>
      </c>
      <c r="Z130" s="188">
        <f>S130+T130+U130*2+V130*3</f>
        <v>299</v>
      </c>
      <c r="AA130" s="197">
        <v>2</v>
      </c>
      <c r="AB130" s="197">
        <v>16</v>
      </c>
      <c r="AC130" s="199">
        <v>6</v>
      </c>
      <c r="AD130" s="9"/>
      <c r="AE130" s="37"/>
      <c r="AF130" s="37"/>
      <c r="AG130" s="37"/>
      <c r="AH130" s="37"/>
      <c r="AI130" s="37"/>
      <c r="AJ130" s="38"/>
      <c r="AK130" s="37"/>
      <c r="AL130" s="38"/>
    </row>
    <row r="131" spans="1:38" x14ac:dyDescent="0.2">
      <c r="A131" s="9"/>
      <c r="B131" s="196">
        <v>1927</v>
      </c>
      <c r="C131" s="207" t="s">
        <v>266</v>
      </c>
      <c r="D131" s="180">
        <f>(S131-V131)/(Q131-V131-Y131+AC131)</f>
        <v>0.37748344370860926</v>
      </c>
      <c r="E131" s="180">
        <f>Z131/P131</f>
        <v>0.62343096234309625</v>
      </c>
      <c r="F131" s="180">
        <f>(T131+U131+V131)/S131</f>
        <v>0.53669724770642202</v>
      </c>
      <c r="G131" s="180">
        <f>(Z131+W131)/P131</f>
        <v>0.86471408647140868</v>
      </c>
      <c r="H131" s="180">
        <f>(Z131/Q131)+((S131+X131+AA131)/(Q131+X131+AA131+AC131))</f>
        <v>1.2461586564230838</v>
      </c>
      <c r="I131" s="180">
        <f>V131/Z131</f>
        <v>0.10514541387024609</v>
      </c>
      <c r="J131" s="180">
        <f>(AB131+AC131)/Z131</f>
        <v>5.8165548098434001E-2</v>
      </c>
      <c r="K131" s="180">
        <f>Y131/P131</f>
        <v>0.11715481171548117</v>
      </c>
      <c r="L131" s="180">
        <f>(X131+AA131)/P131</f>
        <v>0.15620641562064155</v>
      </c>
      <c r="M131" s="186">
        <f>(D131*0.7635+E131*0.7562+F131*0.75+G131*0.7248+H131*0.7021+I131*0.6285+1-J131*0.5884+1-K131*0.5276+L131*0.3663)/6.931</f>
        <v>0.67683012794999231</v>
      </c>
      <c r="N131" s="231">
        <f>M131/0.5021*100</f>
        <v>134.79986615215941</v>
      </c>
      <c r="O131" s="233">
        <f>(N131-100)/100*P131*0.3389</f>
        <v>84.560647161392112</v>
      </c>
      <c r="P131" s="197">
        <v>717</v>
      </c>
      <c r="Q131" s="189">
        <f>P131-X131-AA131-AB131-AC131</f>
        <v>579</v>
      </c>
      <c r="R131" s="188" t="s">
        <v>19</v>
      </c>
      <c r="S131" s="197">
        <v>218</v>
      </c>
      <c r="T131" s="197">
        <v>52</v>
      </c>
      <c r="U131" s="197">
        <v>18</v>
      </c>
      <c r="V131" s="197">
        <v>47</v>
      </c>
      <c r="W131" s="197">
        <v>173</v>
      </c>
      <c r="X131" s="197">
        <v>109</v>
      </c>
      <c r="Y131" s="197">
        <v>84</v>
      </c>
      <c r="Z131" s="188">
        <f>S131+T131+U131*2+V131*3</f>
        <v>447</v>
      </c>
      <c r="AA131" s="197">
        <v>3</v>
      </c>
      <c r="AB131" s="197">
        <v>21</v>
      </c>
      <c r="AC131" s="199">
        <v>5</v>
      </c>
      <c r="AD131" s="9"/>
      <c r="AE131" s="37"/>
      <c r="AF131" s="37"/>
      <c r="AG131" s="37"/>
      <c r="AH131" s="37"/>
      <c r="AI131" s="37"/>
      <c r="AJ131" s="38"/>
      <c r="AK131" s="37"/>
      <c r="AL131" s="38"/>
    </row>
    <row r="132" spans="1:38" x14ac:dyDescent="0.2">
      <c r="A132" s="9"/>
      <c r="B132" s="196">
        <v>1936</v>
      </c>
      <c r="C132" s="207" t="s">
        <v>266</v>
      </c>
      <c r="D132" s="180">
        <f>(S132-V132)/(Q132-V132-Y132+AC132)</f>
        <v>0.32231404958677684</v>
      </c>
      <c r="E132" s="180">
        <f>Z132/P132</f>
        <v>0.56050069541029213</v>
      </c>
      <c r="F132" s="180">
        <f>(T132+U132+V132)/S132</f>
        <v>0.45365853658536587</v>
      </c>
      <c r="G132" s="180">
        <f>(Z132+W132)/P132</f>
        <v>0.79137691237830321</v>
      </c>
      <c r="H132" s="180">
        <f>(Z132/Q132)+((S132+X132+AA132)/(Q132+X132+AA132+AC132))</f>
        <v>1.1809695126112687</v>
      </c>
      <c r="I132" s="180">
        <f>V132/Z132</f>
        <v>0.12158808933002481</v>
      </c>
      <c r="J132" s="180">
        <f>(AB132+AC132)/Z132</f>
        <v>2.2332506203473945E-2</v>
      </c>
      <c r="K132" s="180">
        <f>Y132/P132</f>
        <v>6.397774687065369E-2</v>
      </c>
      <c r="L132" s="180">
        <f>(X132+AA132)/P132</f>
        <v>0.19054242002781641</v>
      </c>
      <c r="M132" s="186">
        <f>(D132*0.7635+E132*0.7562+F132*0.75+G132*0.7248+H132*0.7021+I132*0.6285+1-J132*0.5884+1-K132*0.5276+L132*0.3663)/6.931</f>
        <v>0.65102419315610827</v>
      </c>
      <c r="N132" s="187">
        <f>M132/0.5138*100</f>
        <v>126.70770594708219</v>
      </c>
      <c r="O132" s="283">
        <f>(N132-100)/100*P132*0.3389</f>
        <v>65.078426711901642</v>
      </c>
      <c r="P132" s="197">
        <v>719</v>
      </c>
      <c r="Q132" s="189">
        <f>P132-X132-AA132-AB132-AC132</f>
        <v>573</v>
      </c>
      <c r="R132" s="188" t="s">
        <v>19</v>
      </c>
      <c r="S132" s="197">
        <v>205</v>
      </c>
      <c r="T132" s="197">
        <v>37</v>
      </c>
      <c r="U132" s="197">
        <v>7</v>
      </c>
      <c r="V132" s="197">
        <v>49</v>
      </c>
      <c r="W132" s="197">
        <v>166</v>
      </c>
      <c r="X132" s="197">
        <v>130</v>
      </c>
      <c r="Y132" s="197">
        <v>46</v>
      </c>
      <c r="Z132" s="188">
        <f>S132+T132+U132*2+V132*3</f>
        <v>403</v>
      </c>
      <c r="AA132" s="197">
        <v>7</v>
      </c>
      <c r="AB132" s="197">
        <v>3</v>
      </c>
      <c r="AC132" s="199">
        <v>6</v>
      </c>
      <c r="AD132" s="9"/>
      <c r="AE132" s="37"/>
      <c r="AF132" s="37"/>
      <c r="AG132" s="37"/>
      <c r="AH132" s="37"/>
      <c r="AI132" s="37"/>
      <c r="AJ132" s="38"/>
      <c r="AK132" s="37"/>
      <c r="AL132" s="38"/>
    </row>
    <row r="133" spans="1:38" x14ac:dyDescent="0.2">
      <c r="A133" s="9"/>
      <c r="B133" s="196">
        <v>1944</v>
      </c>
      <c r="C133" s="207" t="s">
        <v>401</v>
      </c>
      <c r="D133" s="180">
        <f>(S133-V133)/(Q133-V133-Y133+AC133)</f>
        <v>0.28666666666666668</v>
      </c>
      <c r="E133" s="180">
        <f>Z133/P133</f>
        <v>0.32389380530973449</v>
      </c>
      <c r="F133" s="180">
        <f>(T133+U133+V133)/S133</f>
        <v>0.25185185185185183</v>
      </c>
      <c r="G133" s="180">
        <f>(Z133+W133)/P133</f>
        <v>0.4353982300884956</v>
      </c>
      <c r="H133" s="180">
        <f>(Z133/Q133)+((S133+X133+AA133)/(Q133+X133+AA133+AC133))</f>
        <v>0.68876769787879444</v>
      </c>
      <c r="I133" s="180">
        <f>V133/Z133</f>
        <v>3.2786885245901641E-2</v>
      </c>
      <c r="J133" s="180">
        <f>(AB133+AC133)/Z133</f>
        <v>0.10928961748633879</v>
      </c>
      <c r="K133" s="180">
        <f>Y133/P133</f>
        <v>8.8495575221238937E-2</v>
      </c>
      <c r="L133" s="180">
        <f>(X133+AA133)/P133</f>
        <v>7.6106194690265486E-2</v>
      </c>
      <c r="M133" s="186">
        <f>(D133*0.7635+E133*0.7562+F133*0.75+G133*0.7248+H133*0.7021+I133*0.6285+1-J133*0.5884+1-K133*0.5276+L133*0.3663)/6.931</f>
        <v>0.48901108099687762</v>
      </c>
      <c r="N133" s="187">
        <f>M133/0.488*100</f>
        <v>100.20718872886836</v>
      </c>
      <c r="O133" s="283">
        <f>(N133-100)/100*P133*0.3389</f>
        <v>0.39672187020620225</v>
      </c>
      <c r="P133" s="197">
        <v>565</v>
      </c>
      <c r="Q133" s="189">
        <f>P133-X133-AA133-AB133-AC133</f>
        <v>502</v>
      </c>
      <c r="R133" s="188" t="s">
        <v>19</v>
      </c>
      <c r="S133" s="197">
        <v>135</v>
      </c>
      <c r="T133" s="197">
        <v>26</v>
      </c>
      <c r="U133" s="197">
        <v>2</v>
      </c>
      <c r="V133" s="197">
        <v>6</v>
      </c>
      <c r="W133" s="197">
        <v>63</v>
      </c>
      <c r="X133" s="197">
        <v>43</v>
      </c>
      <c r="Y133" s="197">
        <v>50</v>
      </c>
      <c r="Z133" s="188">
        <f>S133+T133+U133*2+V133*3</f>
        <v>183</v>
      </c>
      <c r="AA133" s="197">
        <v>0</v>
      </c>
      <c r="AB133" s="197">
        <v>16</v>
      </c>
      <c r="AC133" s="199">
        <v>4</v>
      </c>
      <c r="AD133" s="9"/>
      <c r="AE133" s="37"/>
      <c r="AF133" s="37"/>
      <c r="AG133" s="37"/>
      <c r="AH133" s="37"/>
      <c r="AI133" s="37"/>
      <c r="AJ133" s="38"/>
      <c r="AK133" s="37"/>
      <c r="AL133" s="38"/>
    </row>
    <row r="134" spans="1:38" x14ac:dyDescent="0.2">
      <c r="A134" s="9"/>
      <c r="B134" s="219">
        <v>1962</v>
      </c>
      <c r="C134" s="220" t="s">
        <v>390</v>
      </c>
      <c r="D134" s="221">
        <f>(S134-V134)/(Q134-V134-Y134+AC134)</f>
        <v>0.31761006289308175</v>
      </c>
      <c r="E134" s="221">
        <f>Z134/P134</f>
        <v>0.34123847167325427</v>
      </c>
      <c r="F134" s="221">
        <f>(T134+U134+V134)/S134</f>
        <v>0.13942307692307693</v>
      </c>
      <c r="G134" s="221">
        <f>(Z134+W134)/P134</f>
        <v>0.40447957839262189</v>
      </c>
      <c r="H134" s="221">
        <f>(Z134/Q134)+((S134+X134+AA134)/(Q134+X134+AA134+AC134))</f>
        <v>0.71973633858870345</v>
      </c>
      <c r="I134" s="221">
        <f>V134/Z134</f>
        <v>2.3166023166023165E-2</v>
      </c>
      <c r="J134" s="221">
        <f>(AB134+AC134)/Z134</f>
        <v>4.2471042471042469E-2</v>
      </c>
      <c r="K134" s="221">
        <f>Y134/P134</f>
        <v>7.5098814229249009E-2</v>
      </c>
      <c r="L134" s="221">
        <f>(X134+AA134)/P134</f>
        <v>6.9828722002635041E-2</v>
      </c>
      <c r="M134" s="222">
        <f>(D134*0.7635+E134*0.7562+F134*0.75+G134*0.7248+H134*0.7021+I134*0.6285+1-J134*0.5884+1-K134*0.5276+L134*0.3663)/6.931</f>
        <v>0.48753813524522999</v>
      </c>
      <c r="N134" s="223">
        <f>M134/0.5055*100</f>
        <v>96.446713203804151</v>
      </c>
      <c r="O134" s="224">
        <f>(N134-100)/100*P134*0.3389</f>
        <v>-9.1399455148015676</v>
      </c>
      <c r="P134" s="197">
        <v>759</v>
      </c>
      <c r="Q134" s="188">
        <f>P134-X134-AA134-AB134-AC134</f>
        <v>695</v>
      </c>
      <c r="R134" s="188" t="s">
        <v>19</v>
      </c>
      <c r="S134" s="197">
        <v>208</v>
      </c>
      <c r="T134" s="197">
        <v>13</v>
      </c>
      <c r="U134" s="197">
        <v>10</v>
      </c>
      <c r="V134" s="197">
        <v>6</v>
      </c>
      <c r="W134" s="197">
        <v>48</v>
      </c>
      <c r="X134" s="197">
        <v>51</v>
      </c>
      <c r="Y134" s="197">
        <v>57</v>
      </c>
      <c r="Z134" s="188">
        <f>S134+T134+U134*2+V134*3</f>
        <v>259</v>
      </c>
      <c r="AA134" s="197">
        <v>2</v>
      </c>
      <c r="AB134" s="197">
        <v>7</v>
      </c>
      <c r="AC134" s="197">
        <v>4</v>
      </c>
      <c r="AD134" s="9"/>
      <c r="AE134" s="37"/>
      <c r="AF134" s="37"/>
      <c r="AG134" s="37"/>
      <c r="AH134" s="37"/>
      <c r="AI134" s="37"/>
      <c r="AJ134" s="38"/>
      <c r="AK134" s="37"/>
      <c r="AL134" s="38"/>
    </row>
    <row r="135" spans="1:38" x14ac:dyDescent="0.2">
      <c r="A135" s="9"/>
      <c r="B135" s="196">
        <v>1928</v>
      </c>
      <c r="C135" s="207" t="s">
        <v>239</v>
      </c>
      <c r="D135" s="180">
        <f>(S135-V135)/(Q135-V135-Y135+AC135)</f>
        <v>0.29128440366972475</v>
      </c>
      <c r="E135" s="180">
        <f>Z135/P135</f>
        <v>0.38003502626970226</v>
      </c>
      <c r="F135" s="180">
        <f>(T135+U135+V135)/S135</f>
        <v>0.35036496350364965</v>
      </c>
      <c r="G135" s="180">
        <f>(Z135+W135)/P135</f>
        <v>0.47985989492119091</v>
      </c>
      <c r="H135" s="180">
        <f>(Z135/Q135)+((S135+X135+AA135)/(Q135+X135+AA135+AC135))</f>
        <v>0.85739536694568819</v>
      </c>
      <c r="I135" s="180">
        <f>V135/Z135</f>
        <v>4.6082949308755762E-2</v>
      </c>
      <c r="J135" s="180">
        <f>(AB135+AC135)/Z135</f>
        <v>0.1152073732718894</v>
      </c>
      <c r="K135" s="180">
        <f>Y135/P135</f>
        <v>4.3782837127845885E-2</v>
      </c>
      <c r="L135" s="180">
        <f>(X135+AA135)/P135</f>
        <v>0.13835376532399299</v>
      </c>
      <c r="M135" s="186">
        <f>(D135*0.7635+E135*0.7562+F135*0.75+G135*0.7248+H135*0.7021+I135*0.6285+1-J135*0.5884+1-K135*0.5276+L135*0.3663)/6.931</f>
        <v>0.53543296281100394</v>
      </c>
      <c r="N135" s="187">
        <f>M135/0.5041*100</f>
        <v>106.21562444177822</v>
      </c>
      <c r="O135" s="283">
        <f>(N135-100)/100*P135*0.3389</f>
        <v>12.027972954149421</v>
      </c>
      <c r="P135" s="197">
        <v>571</v>
      </c>
      <c r="Q135" s="189">
        <f>P135-X135-AA135-AB135-AC135</f>
        <v>467</v>
      </c>
      <c r="R135" s="188" t="s">
        <v>19</v>
      </c>
      <c r="S135" s="197">
        <v>137</v>
      </c>
      <c r="T135" s="197">
        <v>26</v>
      </c>
      <c r="U135" s="197">
        <v>12</v>
      </c>
      <c r="V135" s="197">
        <v>10</v>
      </c>
      <c r="W135" s="197">
        <v>57</v>
      </c>
      <c r="X135" s="197">
        <v>76</v>
      </c>
      <c r="Y135" s="197">
        <v>25</v>
      </c>
      <c r="Z135" s="188">
        <f>S135+T135+U135*2+V135*3</f>
        <v>217</v>
      </c>
      <c r="AA135" s="197">
        <v>3</v>
      </c>
      <c r="AB135" s="197">
        <v>21</v>
      </c>
      <c r="AC135" s="199">
        <v>4</v>
      </c>
      <c r="AD135" s="9"/>
      <c r="AE135" s="37"/>
      <c r="AF135" s="37"/>
      <c r="AG135" s="37"/>
      <c r="AH135" s="37"/>
      <c r="AI135" s="37"/>
      <c r="AJ135" s="38"/>
      <c r="AK135" s="37"/>
      <c r="AL135" s="38"/>
    </row>
    <row r="136" spans="1:38" x14ac:dyDescent="0.2">
      <c r="A136" s="9"/>
      <c r="B136" s="196">
        <v>1934</v>
      </c>
      <c r="C136" s="207" t="s">
        <v>239</v>
      </c>
      <c r="D136" s="180">
        <f>(S136-V136)/(Q136-V136-Y136+AC136)</f>
        <v>0.33740831295843521</v>
      </c>
      <c r="E136" s="180">
        <f>Z136/P136</f>
        <v>0.34351145038167941</v>
      </c>
      <c r="F136" s="180">
        <f>(T136+U136+V136)/S136</f>
        <v>0.25</v>
      </c>
      <c r="G136" s="180">
        <f>(Z136+W136)/P136</f>
        <v>0.48664122137404581</v>
      </c>
      <c r="H136" s="180">
        <f>(Z136/Q136)+((S136+X136+AA136)/(Q136+X136+AA136+AC136))</f>
        <v>0.84345005273064655</v>
      </c>
      <c r="I136" s="180">
        <f>V136/Z136</f>
        <v>1.1111111111111112E-2</v>
      </c>
      <c r="J136" s="180">
        <f>(AB136+AC136)/Z136</f>
        <v>0.05</v>
      </c>
      <c r="K136" s="180">
        <f>Y136/P136</f>
        <v>4.9618320610687022E-2</v>
      </c>
      <c r="L136" s="180">
        <f>(X136+AA136)/P136</f>
        <v>0.15648854961832062</v>
      </c>
      <c r="M136" s="186">
        <f>(D136*0.7635+E136*0.7562+F136*0.75+G136*0.7248+H136*0.7021+I136*0.6285+1-J136*0.5884+1-K136*0.5276+L136*0.3663)/6.931</f>
        <v>0.52784373223211833</v>
      </c>
      <c r="N136" s="187">
        <f>M136/0.5074*100</f>
        <v>104.0291155364837</v>
      </c>
      <c r="O136" s="283">
        <f>(N136-100)/100*P136*0.3389</f>
        <v>7.1550484178470688</v>
      </c>
      <c r="P136" s="197">
        <v>524</v>
      </c>
      <c r="Q136" s="189">
        <f>P136-X136-AA136-AB136-AC136</f>
        <v>433</v>
      </c>
      <c r="R136" s="188" t="s">
        <v>19</v>
      </c>
      <c r="S136" s="197">
        <v>140</v>
      </c>
      <c r="T136" s="197">
        <v>32</v>
      </c>
      <c r="U136" s="197">
        <v>1</v>
      </c>
      <c r="V136" s="197">
        <v>2</v>
      </c>
      <c r="W136" s="197">
        <v>75</v>
      </c>
      <c r="X136" s="197">
        <v>78</v>
      </c>
      <c r="Y136" s="197">
        <v>26</v>
      </c>
      <c r="Z136" s="188">
        <f>S136+T136+U136*2+V136*3</f>
        <v>180</v>
      </c>
      <c r="AA136" s="197">
        <v>4</v>
      </c>
      <c r="AB136" s="197">
        <v>5</v>
      </c>
      <c r="AC136" s="199">
        <v>4</v>
      </c>
      <c r="AD136" s="9"/>
      <c r="AE136" s="37"/>
      <c r="AF136" s="37"/>
      <c r="AG136" s="37"/>
      <c r="AH136" s="37"/>
      <c r="AI136" s="37"/>
      <c r="AJ136" s="38"/>
      <c r="AK136" s="37"/>
      <c r="AL136" s="38"/>
    </row>
    <row r="137" spans="1:38" x14ac:dyDescent="0.2">
      <c r="A137" s="9"/>
      <c r="B137" s="196">
        <v>1956</v>
      </c>
      <c r="C137" s="207" t="s">
        <v>161</v>
      </c>
      <c r="D137" s="180">
        <f>(S137-V137)/(Q137-V137-Y137+AC137)</f>
        <v>0.35233160621761656</v>
      </c>
      <c r="E137" s="180">
        <f>Z137/P137</f>
        <v>0.57668711656441718</v>
      </c>
      <c r="F137" s="180">
        <f>(T137+U137+V137)/S137</f>
        <v>0.42021276595744683</v>
      </c>
      <c r="G137" s="180">
        <f>(Z137+W137)/P137</f>
        <v>0.7760736196319018</v>
      </c>
      <c r="H137" s="180">
        <f>(Z137/Q137)+((S137+X137+AA137)/(Q137+X137+AA137+AC137))</f>
        <v>1.1693425902709931</v>
      </c>
      <c r="I137" s="180">
        <f>V137/Z137</f>
        <v>0.13829787234042554</v>
      </c>
      <c r="J137" s="180">
        <f>(AB137+AC137)/Z137</f>
        <v>1.3297872340425532E-2</v>
      </c>
      <c r="K137" s="180">
        <f>Y137/P137</f>
        <v>0.15184049079754602</v>
      </c>
      <c r="L137" s="180">
        <f>(X137+AA137)/P137</f>
        <v>0.17484662576687116</v>
      </c>
      <c r="M137" s="186">
        <f>(D137*0.7635+E137*0.7562+F137*0.75+G137*0.7248+H137*0.7021+I137*0.6285+1-J137*0.5884+1-K137*0.5276+L137*0.3663)/6.931</f>
        <v>0.64446402629551081</v>
      </c>
      <c r="N137" s="187">
        <f>M137/0.5079*100</f>
        <v>126.88797525014979</v>
      </c>
      <c r="O137" s="283">
        <f>(N137-100)/100*P137*0.3389</f>
        <v>59.412422976037981</v>
      </c>
      <c r="P137" s="197">
        <v>652</v>
      </c>
      <c r="Q137" s="188">
        <f>P137-X137-AA137-AB137-AC137</f>
        <v>533</v>
      </c>
      <c r="R137" s="188" t="s">
        <v>19</v>
      </c>
      <c r="S137" s="197">
        <v>188</v>
      </c>
      <c r="T137" s="197">
        <v>22</v>
      </c>
      <c r="U137" s="197">
        <v>5</v>
      </c>
      <c r="V137" s="197">
        <v>52</v>
      </c>
      <c r="W137" s="197">
        <v>130</v>
      </c>
      <c r="X137" s="197">
        <v>112</v>
      </c>
      <c r="Y137" s="197">
        <v>99</v>
      </c>
      <c r="Z137" s="188">
        <f>S137+T137+U137*2+V137*3</f>
        <v>376</v>
      </c>
      <c r="AA137" s="197">
        <v>2</v>
      </c>
      <c r="AB137" s="197">
        <v>1</v>
      </c>
      <c r="AC137" s="197">
        <v>4</v>
      </c>
      <c r="AD137" s="9"/>
      <c r="AE137" s="37"/>
      <c r="AF137" s="37"/>
      <c r="AG137" s="37"/>
      <c r="AH137" s="37"/>
      <c r="AI137" s="37"/>
      <c r="AJ137" s="38"/>
      <c r="AK137" s="37"/>
      <c r="AL137" s="38"/>
    </row>
    <row r="138" spans="1:38" x14ac:dyDescent="0.2">
      <c r="A138" s="9"/>
      <c r="B138" s="196">
        <v>1957</v>
      </c>
      <c r="C138" s="207" t="s">
        <v>161</v>
      </c>
      <c r="D138" s="180">
        <f>(S138-V138)/(Q138-V138-Y138+AC138)</f>
        <v>0.37771739130434784</v>
      </c>
      <c r="E138" s="180">
        <f>Z138/P138</f>
        <v>0.5056179775280899</v>
      </c>
      <c r="F138" s="180">
        <f>(T138+U138+V138)/S138</f>
        <v>0.39306358381502893</v>
      </c>
      <c r="G138" s="180">
        <f>(Z138+W138)/P138</f>
        <v>0.6565008025682183</v>
      </c>
      <c r="H138" s="180">
        <f>(Z138/Q138)+((S138+X138+AA138)/(Q138+X138+AA138+AC138))</f>
        <v>1.1765954852997949</v>
      </c>
      <c r="I138" s="180">
        <f>V138/Z138</f>
        <v>0.10793650793650794</v>
      </c>
      <c r="J138" s="180">
        <f>(AB138+AC138)/Z138</f>
        <v>9.5238095238095247E-3</v>
      </c>
      <c r="K138" s="180">
        <f>Y138/P138</f>
        <v>0.12038523274478331</v>
      </c>
      <c r="L138" s="180">
        <f>(X138+AA138)/P138</f>
        <v>0.23434991974317818</v>
      </c>
      <c r="M138" s="186">
        <f>(D138*0.7635+E138*0.7562+F138*0.75+G138*0.7248+H138*0.7021+I138*0.6285+1-J138*0.5884+1-K138*0.5276+L138*0.3663)/6.931</f>
        <v>0.62790565793960129</v>
      </c>
      <c r="N138" s="187">
        <f>M138/0.5044*100</f>
        <v>124.48565779928656</v>
      </c>
      <c r="O138" s="283">
        <f>(N138-100)/100*P138*0.3389</f>
        <v>51.69772013755027</v>
      </c>
      <c r="P138" s="197">
        <v>623</v>
      </c>
      <c r="Q138" s="188">
        <f>P138-X138-AA138-AB138-AC138</f>
        <v>474</v>
      </c>
      <c r="R138" s="188" t="s">
        <v>19</v>
      </c>
      <c r="S138" s="197">
        <v>173</v>
      </c>
      <c r="T138" s="197">
        <v>28</v>
      </c>
      <c r="U138" s="197">
        <v>6</v>
      </c>
      <c r="V138" s="197">
        <v>34</v>
      </c>
      <c r="W138" s="197">
        <v>94</v>
      </c>
      <c r="X138" s="197">
        <v>146</v>
      </c>
      <c r="Y138" s="197">
        <v>75</v>
      </c>
      <c r="Z138" s="188">
        <f>S138+T138+U138*2+V138*3</f>
        <v>315</v>
      </c>
      <c r="AA138" s="197">
        <v>0</v>
      </c>
      <c r="AB138" s="197">
        <v>0</v>
      </c>
      <c r="AC138" s="197">
        <v>3</v>
      </c>
      <c r="AD138" s="9"/>
      <c r="AE138" s="37"/>
      <c r="AF138" s="37"/>
      <c r="AG138" s="37"/>
      <c r="AH138" s="37"/>
      <c r="AI138" s="37"/>
      <c r="AJ138" s="38"/>
      <c r="AK138" s="37"/>
      <c r="AL138" s="38"/>
    </row>
    <row r="139" spans="1:38" x14ac:dyDescent="0.2">
      <c r="A139" s="9"/>
      <c r="B139" s="196">
        <v>1962</v>
      </c>
      <c r="C139" s="207" t="s">
        <v>161</v>
      </c>
      <c r="D139" s="180">
        <f>(S139-V139)/(Q139-V139-Y139+AC139)</f>
        <v>0.33579335793357934</v>
      </c>
      <c r="E139" s="180">
        <f>Z139/P139</f>
        <v>0.4541832669322709</v>
      </c>
      <c r="F139" s="180">
        <f>(T139+U139+V139)/S139</f>
        <v>0.38016528925619836</v>
      </c>
      <c r="G139" s="180">
        <f>(Z139+W139)/P139</f>
        <v>0.63147410358565736</v>
      </c>
      <c r="H139" s="180">
        <f>(Z139/Q139)+((S139+X139+AA139)/(Q139+X139+AA139+AC139))</f>
        <v>1.0908303127014487</v>
      </c>
      <c r="I139" s="180">
        <f>V139/Z139</f>
        <v>0.13157894736842105</v>
      </c>
      <c r="J139" s="180">
        <f>(AB139+AC139)/Z139</f>
        <v>8.771929824561403E-3</v>
      </c>
      <c r="K139" s="180">
        <f>Y139/P139</f>
        <v>0.15537848605577689</v>
      </c>
      <c r="L139" s="180">
        <f>(X139+AA139)/P139</f>
        <v>0.2450199203187251</v>
      </c>
      <c r="M139" s="186">
        <f>(D139*0.7635+E139*0.7562+F139*0.75+G139*0.7248+H139*0.7021+I139*0.6285+1-J139*0.5884+1-K139*0.5276+L139*0.3663)/6.931</f>
        <v>0.60508282318383966</v>
      </c>
      <c r="N139" s="187">
        <f>M139/0.5055*100</f>
        <v>119.69986610956276</v>
      </c>
      <c r="O139" s="283">
        <f>(N139-100)/100*P139*0.3389</f>
        <v>33.514948815144713</v>
      </c>
      <c r="P139" s="197">
        <v>502</v>
      </c>
      <c r="Q139" s="188">
        <f>P139-X139-AA139-AB139-AC139</f>
        <v>377</v>
      </c>
      <c r="R139" s="188" t="s">
        <v>19</v>
      </c>
      <c r="S139" s="197">
        <v>121</v>
      </c>
      <c r="T139" s="197">
        <v>15</v>
      </c>
      <c r="U139" s="197">
        <v>1</v>
      </c>
      <c r="V139" s="197">
        <v>30</v>
      </c>
      <c r="W139" s="197">
        <v>89</v>
      </c>
      <c r="X139" s="197">
        <v>122</v>
      </c>
      <c r="Y139" s="197">
        <v>78</v>
      </c>
      <c r="Z139" s="188">
        <f>S139+T139+U139*2+V139*3</f>
        <v>228</v>
      </c>
      <c r="AA139" s="197">
        <v>1</v>
      </c>
      <c r="AB139" s="197">
        <v>0</v>
      </c>
      <c r="AC139" s="197">
        <v>2</v>
      </c>
      <c r="AD139" s="9"/>
      <c r="AE139" s="37"/>
      <c r="AF139" s="37"/>
      <c r="AG139" s="37"/>
      <c r="AH139" s="37"/>
      <c r="AI139" s="37"/>
      <c r="AJ139" s="38"/>
      <c r="AK139" s="37"/>
      <c r="AL139" s="38"/>
    </row>
    <row r="140" spans="1:38" x14ac:dyDescent="0.2">
      <c r="A140" s="9"/>
      <c r="B140" s="196">
        <v>2013</v>
      </c>
      <c r="C140" s="207" t="s">
        <v>311</v>
      </c>
      <c r="D140" s="180">
        <f>(S140-V140)/(Q140-V140-Y140+AC140)</f>
        <v>0.35560859188544153</v>
      </c>
      <c r="E140" s="180">
        <f>Z140/P140</f>
        <v>0.54141104294478526</v>
      </c>
      <c r="F140" s="180">
        <f>(T140+U140+V140)/S140</f>
        <v>0.36787564766839376</v>
      </c>
      <c r="G140" s="180">
        <f>(Z140+W140)/P140</f>
        <v>0.75153374233128833</v>
      </c>
      <c r="H140" s="180">
        <f>(Z140/Q140)+((S140+X140+AA140)/(Q140+X140+AA140+AC140))</f>
        <v>1.077753827447079</v>
      </c>
      <c r="I140" s="180">
        <f>V140/Z140</f>
        <v>0.12464589235127478</v>
      </c>
      <c r="J140" s="180">
        <f>(AB140+AC140)/Z140</f>
        <v>5.6657223796033997E-3</v>
      </c>
      <c r="K140" s="180">
        <f>Y140/P140</f>
        <v>0.14417177914110429</v>
      </c>
      <c r="L140" s="180">
        <f>(X140+AA140)/P140</f>
        <v>0.14570552147239263</v>
      </c>
      <c r="M140" s="186">
        <f>(D140*0.7635+E140*0.7562+F140*0.75+G140*0.7248+H140*0.7021+I140*0.6285+1-J140*0.5884+1-K140*0.5276+L140*0.3663)/6.931</f>
        <v>0.62192247571174386</v>
      </c>
      <c r="N140" s="187">
        <f>M140/0.5083*100</f>
        <v>122.35342823366986</v>
      </c>
      <c r="O140" s="283">
        <f>(N140-100)/100*P140*0.3389</f>
        <v>49.39276092110746</v>
      </c>
      <c r="P140" s="197">
        <v>652</v>
      </c>
      <c r="Q140" s="188">
        <f>P140-X140-AA140-AB140-AC140</f>
        <v>555</v>
      </c>
      <c r="R140" s="188" t="s">
        <v>19</v>
      </c>
      <c r="S140" s="197">
        <v>193</v>
      </c>
      <c r="T140" s="197">
        <v>26</v>
      </c>
      <c r="U140" s="197">
        <v>1</v>
      </c>
      <c r="V140" s="197">
        <v>44</v>
      </c>
      <c r="W140" s="197">
        <v>137</v>
      </c>
      <c r="X140" s="197">
        <v>90</v>
      </c>
      <c r="Y140" s="197">
        <v>94</v>
      </c>
      <c r="Z140" s="188">
        <f>S140+T140+U140*2+V140*3</f>
        <v>353</v>
      </c>
      <c r="AA140" s="197">
        <v>5</v>
      </c>
      <c r="AB140" s="197">
        <v>0</v>
      </c>
      <c r="AC140" s="197">
        <v>2</v>
      </c>
      <c r="AD140" s="9"/>
      <c r="AE140" s="37"/>
      <c r="AF140" s="37"/>
      <c r="AG140" s="37"/>
      <c r="AH140" s="37"/>
      <c r="AI140" s="37"/>
      <c r="AJ140" s="38"/>
      <c r="AK140" s="37"/>
      <c r="AL140" s="38"/>
    </row>
    <row r="141" spans="1:38" x14ac:dyDescent="0.2">
      <c r="A141" s="9"/>
      <c r="B141" s="196">
        <v>2012</v>
      </c>
      <c r="C141" s="207" t="s">
        <v>311</v>
      </c>
      <c r="D141" s="180">
        <f>(S141-V141)/(Q141-V141-Y141+AC141)</f>
        <v>0.33127572016460904</v>
      </c>
      <c r="E141" s="180">
        <f>Z141/P141</f>
        <v>0.54088952654232425</v>
      </c>
      <c r="F141" s="180">
        <f>(T141+U141+V141)/S141</f>
        <v>0.40975609756097559</v>
      </c>
      <c r="G141" s="180">
        <f>(Z141+W141)/P141</f>
        <v>0.74031563845050219</v>
      </c>
      <c r="H141" s="180">
        <f>(Z141/Q141)+((S141+X141+AA141)/(Q141+X141+AA141+AC141))</f>
        <v>0.99922266765697731</v>
      </c>
      <c r="I141" s="180">
        <f>V141/Z141</f>
        <v>0.11671087533156499</v>
      </c>
      <c r="J141" s="180">
        <f>(AB141+AC141)/Z141</f>
        <v>1.5915119363395226E-2</v>
      </c>
      <c r="K141" s="180">
        <f>Y141/P141</f>
        <v>0.14060258249641319</v>
      </c>
      <c r="L141" s="180">
        <f>(X141+AA141)/P141</f>
        <v>9.8995695839311337E-2</v>
      </c>
      <c r="M141" s="186">
        <f>(D141*0.7635+E141*0.7562+F141*0.75+G141*0.7248+H141*0.7021+I141*0.6285+1-J141*0.5884+1-K141*0.5276+L141*0.3663)/6.931</f>
        <v>0.6108022341612902</v>
      </c>
      <c r="N141" s="187">
        <f>M141/0.5129*100</f>
        <v>119.08797702501271</v>
      </c>
      <c r="O141" s="283">
        <f>(N141-100)/100*P141*0.3389</f>
        <v>45.088340434024339</v>
      </c>
      <c r="P141" s="197">
        <v>697</v>
      </c>
      <c r="Q141" s="188">
        <f>P141-X141-AA141-AB141-AC141</f>
        <v>622</v>
      </c>
      <c r="R141" s="188" t="s">
        <v>19</v>
      </c>
      <c r="S141" s="197">
        <v>205</v>
      </c>
      <c r="T141" s="197">
        <v>40</v>
      </c>
      <c r="U141" s="197">
        <v>0</v>
      </c>
      <c r="V141" s="197">
        <v>44</v>
      </c>
      <c r="W141" s="197">
        <v>139</v>
      </c>
      <c r="X141" s="197">
        <v>66</v>
      </c>
      <c r="Y141" s="197">
        <v>98</v>
      </c>
      <c r="Z141" s="188">
        <f>S141+T141+U141*2+V141*3</f>
        <v>377</v>
      </c>
      <c r="AA141" s="197">
        <v>3</v>
      </c>
      <c r="AB141" s="197">
        <v>0</v>
      </c>
      <c r="AC141" s="197">
        <v>6</v>
      </c>
      <c r="AD141" s="9"/>
      <c r="AE141" s="37"/>
      <c r="AF141" s="37"/>
      <c r="AG141" s="37"/>
      <c r="AH141" s="37"/>
      <c r="AI141" s="37"/>
      <c r="AJ141" s="38"/>
      <c r="AK141" s="37"/>
      <c r="AL141" s="38"/>
    </row>
    <row r="142" spans="1:38" x14ac:dyDescent="0.2">
      <c r="A142" s="9"/>
      <c r="B142" s="196">
        <v>2002</v>
      </c>
      <c r="C142" s="207" t="s">
        <v>355</v>
      </c>
      <c r="D142" s="180">
        <f>(S142-V142)/(Q142-V142-Y142+AC142)</f>
        <v>0.31021897810218979</v>
      </c>
      <c r="E142" s="180">
        <f>Z142/P142</f>
        <v>0.46993006993006992</v>
      </c>
      <c r="F142" s="180">
        <f>(T142+U142+V142)/S142</f>
        <v>0.31372549019607843</v>
      </c>
      <c r="G142" s="180">
        <f>(Z142+W142)/P142</f>
        <v>0.65314685314685317</v>
      </c>
      <c r="H142" s="180">
        <f>(Z142/Q142)+((S142+X142+AA142)/(Q142+X142+AA142+AC142))</f>
        <v>0.86139902393678836</v>
      </c>
      <c r="I142" s="180">
        <f>V142/Z142</f>
        <v>0.10119047619047619</v>
      </c>
      <c r="J142" s="180">
        <f>(AB142+AC142)/Z142</f>
        <v>1.1904761904761904E-2</v>
      </c>
      <c r="K142" s="180">
        <f>Y142/P142</f>
        <v>0.11748251748251748</v>
      </c>
      <c r="L142" s="180">
        <f>(X142+AA142)/P142</f>
        <v>6.8531468531468534E-2</v>
      </c>
      <c r="M142" s="186">
        <f>(D142*0.7635+E142*0.7562+F142*0.75+G142*0.7248+H142*0.7021+I142*0.6285+1-J142*0.5884+1-K142*0.5276+L142*0.3663)/6.931</f>
        <v>0.5663553994021514</v>
      </c>
      <c r="N142" s="187">
        <f>M142/0.5194*100</f>
        <v>109.04031563383741</v>
      </c>
      <c r="O142" s="283">
        <f>(N142-100)/100*P142*0.3389</f>
        <v>21.905905223398609</v>
      </c>
      <c r="P142" s="197">
        <v>715</v>
      </c>
      <c r="Q142" s="188">
        <f>P142-X142-AA142-AB142-AC142</f>
        <v>662</v>
      </c>
      <c r="R142" s="188" t="s">
        <v>19</v>
      </c>
      <c r="S142" s="197">
        <v>204</v>
      </c>
      <c r="T142" s="197">
        <v>30</v>
      </c>
      <c r="U142" s="197">
        <v>0</v>
      </c>
      <c r="V142" s="197">
        <v>34</v>
      </c>
      <c r="W142" s="197">
        <v>131</v>
      </c>
      <c r="X142" s="197">
        <v>38</v>
      </c>
      <c r="Y142" s="197">
        <v>84</v>
      </c>
      <c r="Z142" s="188">
        <f>S142+T142+U142*2+V142*3</f>
        <v>336</v>
      </c>
      <c r="AA142" s="197">
        <v>11</v>
      </c>
      <c r="AB142" s="197">
        <v>0</v>
      </c>
      <c r="AC142" s="197">
        <v>4</v>
      </c>
      <c r="AD142" s="9"/>
      <c r="AE142" s="37"/>
      <c r="AF142" s="37"/>
      <c r="AG142" s="37"/>
      <c r="AH142" s="37"/>
      <c r="AI142" s="37"/>
      <c r="AJ142" s="38"/>
      <c r="AK142" s="37"/>
      <c r="AL142" s="38"/>
    </row>
    <row r="143" spans="1:38" x14ac:dyDescent="0.2">
      <c r="A143" s="9"/>
      <c r="B143" s="196">
        <v>1981</v>
      </c>
      <c r="C143" s="207" t="s">
        <v>101</v>
      </c>
      <c r="D143" s="180">
        <f>(S143-V143)/(Q143-V143-Y143+AC143)</f>
        <v>0.31764705882352939</v>
      </c>
      <c r="E143" s="180">
        <f>Z143/P143</f>
        <v>0.52534562211981561</v>
      </c>
      <c r="F143" s="180">
        <f>(T143+U143+V143)/S143</f>
        <v>0.4642857142857143</v>
      </c>
      <c r="G143" s="180">
        <f>(Z143+W143)/P143</f>
        <v>0.73502304147465436</v>
      </c>
      <c r="H143" s="180">
        <f>(Z143/Q143)+((S143+X143+AA143)/(Q143+X143+AA143+AC143))</f>
        <v>1.0795516675779113</v>
      </c>
      <c r="I143" s="180">
        <f>V143/Z143</f>
        <v>0.13596491228070176</v>
      </c>
      <c r="J143" s="180">
        <f>(AB143+AC143)/Z143</f>
        <v>1.3157894736842105E-2</v>
      </c>
      <c r="K143" s="180">
        <f>Y143/P143</f>
        <v>0.16359447004608296</v>
      </c>
      <c r="L143" s="180">
        <f>(X143+AA143)/P143</f>
        <v>0.17741935483870969</v>
      </c>
      <c r="M143" s="186">
        <f>(D143*0.7635+E143*0.7562+F143*0.75+G143*0.7248+H143*0.7021+I143*0.6285+1-J143*0.5884+1-K143*0.5276+L143*0.3663)/6.931</f>
        <v>0.62546388836051137</v>
      </c>
      <c r="N143" s="187">
        <f>M143/0.4932*100</f>
        <v>126.81749561243134</v>
      </c>
      <c r="O143" s="283">
        <f>(N143-100)/100*P143*0.3389</f>
        <v>39.443869801649939</v>
      </c>
      <c r="P143" s="197">
        <v>434</v>
      </c>
      <c r="Q143" s="188">
        <f>P143-X143-AA143-AB143-AC143</f>
        <v>354</v>
      </c>
      <c r="R143" s="188" t="s">
        <v>19</v>
      </c>
      <c r="S143" s="197">
        <v>112</v>
      </c>
      <c r="T143" s="197">
        <v>19</v>
      </c>
      <c r="U143" s="197">
        <v>2</v>
      </c>
      <c r="V143" s="197">
        <v>31</v>
      </c>
      <c r="W143" s="197">
        <v>91</v>
      </c>
      <c r="X143" s="197">
        <v>73</v>
      </c>
      <c r="Y143" s="197">
        <v>71</v>
      </c>
      <c r="Z143" s="188">
        <f>S143+T143+U143*2+V143*3</f>
        <v>228</v>
      </c>
      <c r="AA143" s="197">
        <v>4</v>
      </c>
      <c r="AB143" s="197">
        <v>0</v>
      </c>
      <c r="AC143" s="197">
        <v>3</v>
      </c>
      <c r="AD143" s="9"/>
      <c r="AE143" s="37"/>
      <c r="AF143" s="37"/>
      <c r="AG143" s="37"/>
      <c r="AH143" s="37"/>
      <c r="AI143" s="37"/>
      <c r="AJ143" s="38"/>
      <c r="AK143" s="37"/>
      <c r="AL143" s="38"/>
    </row>
    <row r="144" spans="1:38" x14ac:dyDescent="0.2">
      <c r="A144" s="9"/>
      <c r="B144" s="196">
        <v>1980</v>
      </c>
      <c r="C144" s="207" t="s">
        <v>101</v>
      </c>
      <c r="D144" s="180">
        <f>(S144-V144)/(Q144-V144-Y144+AC144)</f>
        <v>0.2766497461928934</v>
      </c>
      <c r="E144" s="180">
        <f>Z144/P144</f>
        <v>0.52453987730061347</v>
      </c>
      <c r="F144" s="180">
        <f>(T144+U144+V144)/S144</f>
        <v>0.51592356687898089</v>
      </c>
      <c r="G144" s="180">
        <f>(Z144+W144)/P144</f>
        <v>0.71012269938650308</v>
      </c>
      <c r="H144" s="180">
        <f>(Z144/Q144)+((S144+X144+AA144)/(Q144+X144+AA144+AC144))</f>
        <v>1.0044556894003851</v>
      </c>
      <c r="I144" s="180">
        <f>V144/Z144</f>
        <v>0.14035087719298245</v>
      </c>
      <c r="J144" s="180">
        <f>(AB144+AC144)/Z144</f>
        <v>3.8011695906432746E-2</v>
      </c>
      <c r="K144" s="180">
        <f>Y144/P144</f>
        <v>0.18251533742331288</v>
      </c>
      <c r="L144" s="180">
        <f>(X144+AA144)/P144</f>
        <v>0.13957055214723926</v>
      </c>
      <c r="M144" s="186">
        <f>(D144*0.7635+E144*0.7562+F144*0.75+G144*0.7248+H144*0.7021+I144*0.6285+1-J144*0.5884+1-K144*0.5276+L144*0.3663)/6.931</f>
        <v>0.61108370066469775</v>
      </c>
      <c r="N144" s="187">
        <f>M144/0.5026*100</f>
        <v>121.58450072914798</v>
      </c>
      <c r="O144" s="283">
        <f>(N144-100)/100*P144*0.3389</f>
        <v>47.693717177145778</v>
      </c>
      <c r="P144" s="197">
        <v>652</v>
      </c>
      <c r="Q144" s="188">
        <f>P144-X144-AA144-AB144-AC144</f>
        <v>548</v>
      </c>
      <c r="R144" s="188" t="s">
        <v>19</v>
      </c>
      <c r="S144" s="197">
        <v>157</v>
      </c>
      <c r="T144" s="197">
        <v>25</v>
      </c>
      <c r="U144" s="197">
        <v>8</v>
      </c>
      <c r="V144" s="197">
        <v>48</v>
      </c>
      <c r="W144" s="197">
        <v>121</v>
      </c>
      <c r="X144" s="197">
        <v>89</v>
      </c>
      <c r="Y144" s="197">
        <v>119</v>
      </c>
      <c r="Z144" s="188">
        <f>S144+T144+U144*2+V144*3</f>
        <v>342</v>
      </c>
      <c r="AA144" s="197">
        <v>2</v>
      </c>
      <c r="AB144" s="197">
        <v>0</v>
      </c>
      <c r="AC144" s="197">
        <v>13</v>
      </c>
      <c r="AD144" s="9"/>
      <c r="AE144" s="37"/>
      <c r="AF144" s="37"/>
      <c r="AG144" s="37"/>
      <c r="AH144" s="37"/>
      <c r="AI144" s="37"/>
      <c r="AJ144" s="38"/>
      <c r="AK144" s="37"/>
      <c r="AL144" s="38"/>
    </row>
    <row r="145" spans="1:38" x14ac:dyDescent="0.2">
      <c r="A145" s="9"/>
      <c r="B145" s="196">
        <v>1986</v>
      </c>
      <c r="C145" s="207" t="s">
        <v>101</v>
      </c>
      <c r="D145" s="180">
        <f>(S145-V145)/(Q145-V145-Y145+AC145)</f>
        <v>0.27954545454545454</v>
      </c>
      <c r="E145" s="180">
        <f>Z145/P145</f>
        <v>0.45966514459665142</v>
      </c>
      <c r="F145" s="180">
        <f>(T145+U145+V145)/S145</f>
        <v>0.41875000000000001</v>
      </c>
      <c r="G145" s="180">
        <f>(Z145+W145)/P145</f>
        <v>0.64079147640791478</v>
      </c>
      <c r="H145" s="180">
        <f>(Z145/Q145)+((S145+X145+AA145)/(Q145+X145+AA145+AC145))</f>
        <v>0.93675137317186152</v>
      </c>
      <c r="I145" s="180">
        <f>V145/Z145</f>
        <v>0.12251655629139073</v>
      </c>
      <c r="J145" s="180">
        <f>(AB145+AC145)/Z145</f>
        <v>2.9801324503311258E-2</v>
      </c>
      <c r="K145" s="180">
        <f>Y145/P145</f>
        <v>0.12785388127853881</v>
      </c>
      <c r="L145" s="180">
        <f>(X145+AA145)/P145</f>
        <v>0.14611872146118721</v>
      </c>
      <c r="M145" s="186">
        <f>(D145*0.7635+E145*0.7562+F145*0.75+G145*0.7248+H145*0.7021+I145*0.6285+1-J145*0.5884+1-K145*0.5276+L145*0.3663)/6.931</f>
        <v>0.58328771812060742</v>
      </c>
      <c r="N145" s="187">
        <f>M145/0.5076*100</f>
        <v>114.91089797490295</v>
      </c>
      <c r="O145" s="283">
        <f>(N145-100)/100*P145*0.3389</f>
        <v>33.200202836673583</v>
      </c>
      <c r="P145" s="197">
        <v>657</v>
      </c>
      <c r="Q145" s="188">
        <f>P145-X145-AA145-AB145-AC145</f>
        <v>552</v>
      </c>
      <c r="R145" s="188" t="s">
        <v>19</v>
      </c>
      <c r="S145" s="197">
        <v>160</v>
      </c>
      <c r="T145" s="197">
        <v>29</v>
      </c>
      <c r="U145" s="197">
        <v>1</v>
      </c>
      <c r="V145" s="197">
        <v>37</v>
      </c>
      <c r="W145" s="197">
        <v>119</v>
      </c>
      <c r="X145" s="197">
        <v>89</v>
      </c>
      <c r="Y145" s="197">
        <v>84</v>
      </c>
      <c r="Z145" s="188">
        <f>S145+T145+U145*2+V145*3</f>
        <v>302</v>
      </c>
      <c r="AA145" s="197">
        <v>7</v>
      </c>
      <c r="AB145" s="197">
        <v>0</v>
      </c>
      <c r="AC145" s="197">
        <v>9</v>
      </c>
      <c r="AD145" s="9"/>
      <c r="AE145" s="37"/>
      <c r="AF145" s="37"/>
      <c r="AG145" s="37"/>
      <c r="AH145" s="37"/>
      <c r="AI145" s="37"/>
      <c r="AJ145" s="38"/>
      <c r="AK145" s="37"/>
      <c r="AL145" s="38"/>
    </row>
    <row r="146" spans="1:38" x14ac:dyDescent="0.2">
      <c r="A146" s="9"/>
      <c r="B146" s="196">
        <v>2019</v>
      </c>
      <c r="C146" s="207" t="s">
        <v>310</v>
      </c>
      <c r="D146" s="180">
        <f>(S146-V146)/(Q146-V146-Y146+AC146)</f>
        <v>0.29773462783171523</v>
      </c>
      <c r="E146" s="180">
        <f>Z146/P146</f>
        <v>0.505</v>
      </c>
      <c r="F146" s="180">
        <f>(T146+U146+V146)/S146</f>
        <v>0.54014598540145986</v>
      </c>
      <c r="G146" s="180">
        <f>(Z146+W146)/P146</f>
        <v>0.67833333333333334</v>
      </c>
      <c r="H146" s="180">
        <f>(Z146/Q146)+((S146+X146+AA146)/(Q146+X146+AA146+AC146))</f>
        <v>1.0830141843971632</v>
      </c>
      <c r="I146" s="180">
        <f>V146/Z146</f>
        <v>0.14851485148514851</v>
      </c>
      <c r="J146" s="180">
        <f>(AB146+AC146)/Z146</f>
        <v>1.3201320132013201E-2</v>
      </c>
      <c r="K146" s="180">
        <f>Y146/P146</f>
        <v>0.2</v>
      </c>
      <c r="L146" s="180">
        <f>(X146+AA146)/P146</f>
        <v>0.21</v>
      </c>
      <c r="M146" s="186">
        <f>(D146*0.7635+E146*0.7562+F146*0.75+G146*0.7248+H146*0.7021+I146*0.6285+1-J146*0.5884+1-K146*0.5276+L146*0.3663)/6.931</f>
        <v>0.62376685379578656</v>
      </c>
      <c r="N146" s="187">
        <f>M146/0.529*100</f>
        <v>117.91433909183111</v>
      </c>
      <c r="O146" s="283">
        <f>(N146-100)/100*P146*0.3389</f>
        <v>36.427017109329377</v>
      </c>
      <c r="P146" s="197">
        <v>600</v>
      </c>
      <c r="Q146" s="188">
        <f>P146-X146-AA146-AB146-AC146</f>
        <v>470</v>
      </c>
      <c r="R146" s="188" t="s">
        <v>19</v>
      </c>
      <c r="S146" s="197">
        <v>137</v>
      </c>
      <c r="T146" s="197">
        <v>27</v>
      </c>
      <c r="U146" s="197">
        <v>2</v>
      </c>
      <c r="V146" s="197">
        <v>45</v>
      </c>
      <c r="W146" s="197">
        <v>104</v>
      </c>
      <c r="X146" s="197">
        <v>110</v>
      </c>
      <c r="Y146" s="197">
        <v>120</v>
      </c>
      <c r="Z146" s="188">
        <f>S146+T146+U146*2+V146*3</f>
        <v>303</v>
      </c>
      <c r="AA146" s="197">
        <v>16</v>
      </c>
      <c r="AB146" s="197">
        <v>0</v>
      </c>
      <c r="AC146" s="197">
        <v>4</v>
      </c>
      <c r="AD146" s="9"/>
      <c r="AE146" s="37"/>
      <c r="AF146" s="37"/>
      <c r="AG146" s="37"/>
      <c r="AH146" s="37"/>
      <c r="AI146" s="37"/>
      <c r="AJ146" s="38"/>
      <c r="AK146" s="37"/>
      <c r="AL146" s="38"/>
    </row>
    <row r="147" spans="1:38" x14ac:dyDescent="0.2">
      <c r="A147" s="9"/>
      <c r="B147" s="196">
        <v>2014</v>
      </c>
      <c r="C147" s="207" t="s">
        <v>310</v>
      </c>
      <c r="D147" s="180">
        <f>(S147-V147)/(Q147-V147-Y147+AC147)</f>
        <v>0.34948979591836737</v>
      </c>
      <c r="E147" s="180">
        <f>Z147/P147</f>
        <v>0.4794326241134752</v>
      </c>
      <c r="F147" s="180">
        <f>(T147+U147+V147)/S147</f>
        <v>0.48554913294797686</v>
      </c>
      <c r="G147" s="180">
        <f>(Z147+W147)/P147</f>
        <v>0.63687943262411351</v>
      </c>
      <c r="H147" s="180">
        <f>(Z147/Q147)+((S147+X147+AA147)/(Q147+X147+AA147+AC147))</f>
        <v>0.93876675855894065</v>
      </c>
      <c r="I147" s="180">
        <f>V147/Z147</f>
        <v>0.10650887573964497</v>
      </c>
      <c r="J147" s="180">
        <f>(AB147+AC147)/Z147</f>
        <v>2.9585798816568046E-2</v>
      </c>
      <c r="K147" s="180">
        <f>Y147/P147</f>
        <v>0.26099290780141843</v>
      </c>
      <c r="L147" s="180">
        <f>(X147+AA147)/P147</f>
        <v>0.13191489361702127</v>
      </c>
      <c r="M147" s="186">
        <f>(D147*0.7635+E147*0.7562+F147*0.75+G147*0.7248+H147*0.7021+I147*0.6285+1-J147*0.5884+1-K147*0.5276+L147*0.3663)/6.931</f>
        <v>0.58785394963988458</v>
      </c>
      <c r="N147" s="187">
        <f>M147/0.5031*100</f>
        <v>116.84634260383315</v>
      </c>
      <c r="O147" s="283">
        <f>(N147-100)/100*P147*0.3389</f>
        <v>40.250039834495333</v>
      </c>
      <c r="P147" s="197">
        <v>705</v>
      </c>
      <c r="Q147" s="188">
        <f>P147-X147-AA147-AB147-AC147</f>
        <v>602</v>
      </c>
      <c r="R147" s="188" t="s">
        <v>19</v>
      </c>
      <c r="S147" s="197">
        <v>173</v>
      </c>
      <c r="T147" s="197">
        <v>39</v>
      </c>
      <c r="U147" s="197">
        <v>9</v>
      </c>
      <c r="V147" s="197">
        <v>36</v>
      </c>
      <c r="W147" s="197">
        <v>111</v>
      </c>
      <c r="X147" s="197">
        <v>83</v>
      </c>
      <c r="Y147" s="197">
        <v>184</v>
      </c>
      <c r="Z147" s="188">
        <f>S147+T147+U147*2+V147*3</f>
        <v>338</v>
      </c>
      <c r="AA147" s="197">
        <v>10</v>
      </c>
      <c r="AB147" s="197">
        <v>0</v>
      </c>
      <c r="AC147" s="197">
        <v>10</v>
      </c>
      <c r="AD147" s="9"/>
      <c r="AE147" s="37"/>
      <c r="AF147" s="37"/>
      <c r="AG147" s="37"/>
      <c r="AH147" s="37"/>
      <c r="AI147" s="37"/>
      <c r="AJ147" s="38"/>
      <c r="AK147" s="37"/>
      <c r="AL147" s="38"/>
    </row>
    <row r="148" spans="1:38" x14ac:dyDescent="0.2">
      <c r="A148" s="9"/>
      <c r="B148" s="196">
        <v>2016</v>
      </c>
      <c r="C148" s="207" t="s">
        <v>310</v>
      </c>
      <c r="D148" s="180">
        <f>(S148-V148)/(Q148-V148-Y148+AC148)</f>
        <v>0.37113402061855671</v>
      </c>
      <c r="E148" s="180">
        <f>Z148/P148</f>
        <v>0.44346549192364171</v>
      </c>
      <c r="F148" s="180">
        <f>(T148+U148+V148)/S148</f>
        <v>0.38150289017341038</v>
      </c>
      <c r="G148" s="180">
        <f>(Z148+W148)/P148</f>
        <v>0.5903083700440529</v>
      </c>
      <c r="H148" s="180">
        <f>(Z148/Q148)+((S148+X148+AA148)/(Q148+X148+AA148+AC148))</f>
        <v>0.9906197090424721</v>
      </c>
      <c r="I148" s="180">
        <f>V148/Z148</f>
        <v>9.602649006622517E-2</v>
      </c>
      <c r="J148" s="180">
        <f>(AB148+AC148)/Z148</f>
        <v>1.6556291390728478E-2</v>
      </c>
      <c r="K148" s="180">
        <f>Y148/P148</f>
        <v>0.2011747430249633</v>
      </c>
      <c r="L148" s="180">
        <f>(X148+AA148)/P148</f>
        <v>0.18649045521292218</v>
      </c>
      <c r="M148" s="186">
        <f>(D148*0.7635+E148*0.7562+F148*0.75+G148*0.7248+H148*0.7021+I148*0.6285+1-J148*0.5884+1-K148*0.5276+L148*0.3663)/6.931</f>
        <v>0.58303113377124127</v>
      </c>
      <c r="N148" s="187">
        <f>M148/0.5193*100</f>
        <v>112.2725079474757</v>
      </c>
      <c r="O148" s="283">
        <f>(N148-100)/100*P148*0.3389</f>
        <v>28.323831544550703</v>
      </c>
      <c r="P148" s="197">
        <v>681</v>
      </c>
      <c r="Q148" s="188">
        <f>P148-X148-AA148-AB148-AC148</f>
        <v>549</v>
      </c>
      <c r="R148" s="188" t="s">
        <v>19</v>
      </c>
      <c r="S148" s="197">
        <v>173</v>
      </c>
      <c r="T148" s="197">
        <v>32</v>
      </c>
      <c r="U148" s="197">
        <v>5</v>
      </c>
      <c r="V148" s="197">
        <v>29</v>
      </c>
      <c r="W148" s="197">
        <v>100</v>
      </c>
      <c r="X148" s="197">
        <v>116</v>
      </c>
      <c r="Y148" s="197">
        <v>137</v>
      </c>
      <c r="Z148" s="188">
        <f>S148+T148+U148*2+V148*3</f>
        <v>302</v>
      </c>
      <c r="AA148" s="197">
        <v>11</v>
      </c>
      <c r="AB148" s="197">
        <v>0</v>
      </c>
      <c r="AC148" s="197">
        <v>5</v>
      </c>
      <c r="AD148" s="9"/>
      <c r="AE148" s="37"/>
      <c r="AF148" s="37"/>
      <c r="AG148" s="37"/>
      <c r="AH148" s="37"/>
      <c r="AI148" s="37"/>
      <c r="AJ148" s="38"/>
      <c r="AK148" s="37"/>
      <c r="AL148" s="38"/>
    </row>
    <row r="149" spans="1:38" x14ac:dyDescent="0.2">
      <c r="A149" s="9"/>
      <c r="B149" s="196">
        <v>1995</v>
      </c>
      <c r="C149" s="207" t="s">
        <v>362</v>
      </c>
      <c r="D149" s="180">
        <f>(S149-V149)/(Q149-V149-Y149+AC149)</f>
        <v>0.34520547945205482</v>
      </c>
      <c r="E149" s="180">
        <f>Z149/P149</f>
        <v>0.49685534591194969</v>
      </c>
      <c r="F149" s="180">
        <f>(T149+U149+V149)/S149</f>
        <v>0.42424242424242425</v>
      </c>
      <c r="G149" s="180">
        <f>(Z149+W149)/P149</f>
        <v>0.69496855345911945</v>
      </c>
      <c r="H149" s="180">
        <f>(Z149/Q149)+((S149+X149+AA149)/(Q149+X149+AA149+AC149))</f>
        <v>0.9629102344196685</v>
      </c>
      <c r="I149" s="180">
        <f>V149/Z149</f>
        <v>0.12341772151898735</v>
      </c>
      <c r="J149" s="180">
        <f>(AB149+AC149)/Z149</f>
        <v>1.2658227848101266E-2</v>
      </c>
      <c r="K149" s="180">
        <f>Y149/P149</f>
        <v>0.23584905660377359</v>
      </c>
      <c r="L149" s="180">
        <f>(X149+AA149)/P149</f>
        <v>0.12893081761006289</v>
      </c>
      <c r="M149" s="186">
        <f>(D149*0.7635+E149*0.7562+F149*0.75+G149*0.7248+H149*0.7021+I149*0.6285+1-J149*0.5884+1-K149*0.5276+L149*0.3663)/6.931</f>
        <v>0.5958958347122455</v>
      </c>
      <c r="N149" s="187">
        <f>M149/0.5191*100</f>
        <v>114.79403481260748</v>
      </c>
      <c r="O149" s="283">
        <f>(N149-100)/100*P149*0.3389</f>
        <v>31.88712181123341</v>
      </c>
      <c r="P149" s="197">
        <v>636</v>
      </c>
      <c r="Q149" s="188">
        <f>P149-X149-AA149-AB149-AC149</f>
        <v>550</v>
      </c>
      <c r="R149" s="188" t="s">
        <v>19</v>
      </c>
      <c r="S149" s="197">
        <v>165</v>
      </c>
      <c r="T149" s="197">
        <v>28</v>
      </c>
      <c r="U149" s="197">
        <v>3</v>
      </c>
      <c r="V149" s="197">
        <v>39</v>
      </c>
      <c r="W149" s="197">
        <v>126</v>
      </c>
      <c r="X149" s="197">
        <v>68</v>
      </c>
      <c r="Y149" s="197">
        <v>150</v>
      </c>
      <c r="Z149" s="188">
        <f>S149+T149+U149*2+V149*3</f>
        <v>316</v>
      </c>
      <c r="AA149" s="197">
        <v>14</v>
      </c>
      <c r="AB149" s="197">
        <v>0</v>
      </c>
      <c r="AC149" s="197">
        <v>4</v>
      </c>
      <c r="AD149" s="9"/>
      <c r="AE149" s="37"/>
      <c r="AF149" s="37"/>
      <c r="AG149" s="37"/>
      <c r="AH149" s="37"/>
      <c r="AI149" s="37"/>
      <c r="AJ149" s="38"/>
      <c r="AK149" s="37"/>
      <c r="AL149" s="38"/>
    </row>
    <row r="150" spans="1:38" x14ac:dyDescent="0.2">
      <c r="A150" s="9"/>
      <c r="B150" s="196">
        <v>2018</v>
      </c>
      <c r="C150" s="207" t="s">
        <v>334</v>
      </c>
      <c r="D150" s="180">
        <f>(S150-V150)/(Q150-V150-Y150+AC150)</f>
        <v>0.36815920398009949</v>
      </c>
      <c r="E150" s="180">
        <f>Z150/P150</f>
        <v>0.54234527687296419</v>
      </c>
      <c r="F150" s="180">
        <f>(T150+U150+V150)/S150</f>
        <v>0.46666666666666667</v>
      </c>
      <c r="G150" s="180">
        <f>(Z150+W150)/P150</f>
        <v>0.67263843648208466</v>
      </c>
      <c r="H150" s="180">
        <f>(Z150/Q150)+((S150+X150+AA150)/(Q150+X150+AA150+AC150))</f>
        <v>1.0784953645702831</v>
      </c>
      <c r="I150" s="180">
        <f>V150/Z150</f>
        <v>9.6096096096096095E-2</v>
      </c>
      <c r="J150" s="180">
        <f>(AB150+AC150)/Z150</f>
        <v>1.5015015015015015E-2</v>
      </c>
      <c r="K150" s="180">
        <f>Y150/P150</f>
        <v>0.1482084690553746</v>
      </c>
      <c r="L150" s="180">
        <f>(X150+AA150)/P150</f>
        <v>0.14495114006514659</v>
      </c>
      <c r="M150" s="186">
        <f>(D150*0.7635+E150*0.7562+F150*0.75+G150*0.7248+H150*0.7021+I150*0.6285+1-J150*0.5884+1-K150*0.5276+L150*0.3663)/6.931</f>
        <v>0.62219208782729185</v>
      </c>
      <c r="N150" s="187">
        <f>M150/0.5164*100</f>
        <v>120.4864616241851</v>
      </c>
      <c r="O150" s="283">
        <f>(N150-100)/100*P150*0.3389</f>
        <v>42.629171724839054</v>
      </c>
      <c r="P150" s="197">
        <v>614</v>
      </c>
      <c r="Q150" s="188">
        <f>P150-X150-AA150-AB150-AC150</f>
        <v>520</v>
      </c>
      <c r="R150" s="188" t="s">
        <v>19</v>
      </c>
      <c r="S150" s="197">
        <v>180</v>
      </c>
      <c r="T150" s="197">
        <v>47</v>
      </c>
      <c r="U150" s="197">
        <v>5</v>
      </c>
      <c r="V150" s="197">
        <v>32</v>
      </c>
      <c r="W150" s="197">
        <v>80</v>
      </c>
      <c r="X150" s="197">
        <v>81</v>
      </c>
      <c r="Y150" s="197">
        <v>91</v>
      </c>
      <c r="Z150" s="188">
        <f>S150+T150+U150*2+V150*3</f>
        <v>333</v>
      </c>
      <c r="AA150" s="197">
        <v>8</v>
      </c>
      <c r="AB150" s="197">
        <v>0</v>
      </c>
      <c r="AC150" s="197">
        <v>5</v>
      </c>
      <c r="AD150" s="9"/>
      <c r="AE150" s="37"/>
      <c r="AF150" s="37"/>
      <c r="AG150" s="37"/>
      <c r="AH150" s="37"/>
      <c r="AI150" s="37"/>
      <c r="AJ150" s="38"/>
      <c r="AK150" s="37"/>
      <c r="AL150" s="38"/>
    </row>
    <row r="151" spans="1:38" x14ac:dyDescent="0.2">
      <c r="A151" s="9"/>
      <c r="B151" s="210">
        <v>1942</v>
      </c>
      <c r="C151" s="211" t="s">
        <v>403</v>
      </c>
      <c r="D151" s="181">
        <f>(S151-V151)/(Q151-V151-Y151+AC151)</f>
        <v>0.23239436619718309</v>
      </c>
      <c r="E151" s="181">
        <f>Z151/P151</f>
        <v>0.24090909090909091</v>
      </c>
      <c r="F151" s="181">
        <f>(T151+U151+V151)/S151</f>
        <v>0.17391304347826086</v>
      </c>
      <c r="G151" s="181">
        <f>(Z151+R151)/P151</f>
        <v>0.30727272727272725</v>
      </c>
      <c r="H151" s="181">
        <f>(Z151/Q151)+((S151+X151+AA151)/(Q151+X151+AA151+AC151))</f>
        <v>0.52150847970094283</v>
      </c>
      <c r="I151" s="181">
        <f>V151/Z151</f>
        <v>3.3962264150943396E-2</v>
      </c>
      <c r="J151" s="181">
        <f>(AB151+AC151)/Z151</f>
        <v>8.3018867924528297E-2</v>
      </c>
      <c r="K151" s="181">
        <f>Y151/P151</f>
        <v>0.13818181818181818</v>
      </c>
      <c r="L151" s="181">
        <f>(X151+AA151)/P151</f>
        <v>6.6363636363636361E-2</v>
      </c>
      <c r="M151" s="190">
        <f>(1-D151*0.7635+1-E151*0.7562+1-F151*0.75+1-G151*0.7248+1-H151*0.7021+1-I151*0.6285+J151*0.5884+K151*0.5276+1-L151*0.3663)/11.068</f>
        <v>0.54184975009664338</v>
      </c>
      <c r="N151" s="191">
        <f>M151/0.4951*100</f>
        <v>109.44248638591061</v>
      </c>
      <c r="O151" s="284">
        <f>(N151-100)/100*P151*0.6611</f>
        <v>68.66670524698057</v>
      </c>
      <c r="P151" s="197">
        <v>1100</v>
      </c>
      <c r="Q151" s="189">
        <f>P151-X151-AA151-AB151-AC151</f>
        <v>1005</v>
      </c>
      <c r="R151" s="197">
        <v>73</v>
      </c>
      <c r="S151" s="197">
        <v>207</v>
      </c>
      <c r="T151" s="197">
        <v>23</v>
      </c>
      <c r="U151" s="197">
        <v>4</v>
      </c>
      <c r="V151" s="197">
        <v>9</v>
      </c>
      <c r="W151" s="188" t="s">
        <v>19</v>
      </c>
      <c r="X151" s="197">
        <v>68</v>
      </c>
      <c r="Y151" s="197">
        <v>152</v>
      </c>
      <c r="Z151" s="188">
        <f>S151+T151+U151*2+V151*3</f>
        <v>265</v>
      </c>
      <c r="AA151" s="197">
        <v>5</v>
      </c>
      <c r="AB151" s="197">
        <v>14</v>
      </c>
      <c r="AC151" s="199">
        <v>8</v>
      </c>
      <c r="AD151" s="9"/>
      <c r="AE151" s="37"/>
      <c r="AF151" s="37"/>
      <c r="AG151" s="37"/>
      <c r="AH151" s="37"/>
      <c r="AI151" s="37"/>
      <c r="AJ151" s="38"/>
      <c r="AK151" s="37"/>
      <c r="AL151" s="38"/>
    </row>
    <row r="152" spans="1:38" x14ac:dyDescent="0.2">
      <c r="A152" s="9"/>
      <c r="B152" s="196">
        <v>1959</v>
      </c>
      <c r="C152" s="207" t="s">
        <v>97</v>
      </c>
      <c r="D152" s="180">
        <f>(S152-V152)/(Q152-V152-Y152+AC152)</f>
        <v>0.3073170731707317</v>
      </c>
      <c r="E152" s="180">
        <f>Z152/P152</f>
        <v>0.33891213389121339</v>
      </c>
      <c r="F152" s="180">
        <f>(T152+U152+V152)/S152</f>
        <v>0.21989528795811519</v>
      </c>
      <c r="G152" s="180">
        <f>(Z152+W152)/P152</f>
        <v>0.43654114365411434</v>
      </c>
      <c r="H152" s="180">
        <f>(Z152/Q152)+((S152+X152+AA152)/(Q152+X152+AA152+AC152))</f>
        <v>0.76874350282485882</v>
      </c>
      <c r="I152" s="180">
        <f>V152/Z152</f>
        <v>8.23045267489712E-3</v>
      </c>
      <c r="J152" s="180">
        <f>(AB152+AC152)/Z152</f>
        <v>5.7613168724279837E-2</v>
      </c>
      <c r="K152" s="180">
        <f>Y152/P152</f>
        <v>1.813110181311018E-2</v>
      </c>
      <c r="L152" s="180">
        <f>(X152+AA152)/P152</f>
        <v>0.10878661087866109</v>
      </c>
      <c r="M152" s="186">
        <f>(D152*0.7635+E152*0.7562+F152*0.75+G152*0.7248+H152*0.7021+I152*0.6285+1-J152*0.5884+1-K152*0.5276+L152*0.3663)/6.931</f>
        <v>0.50693104292510083</v>
      </c>
      <c r="N152" s="187">
        <f>M152/0.5053*100</f>
        <v>100.32278704237103</v>
      </c>
      <c r="O152" s="283">
        <f>(N152-100)/100*P152*0.3389</f>
        <v>0.78434443048892355</v>
      </c>
      <c r="P152" s="197">
        <v>717</v>
      </c>
      <c r="Q152" s="188">
        <f>P152-X152-AA152-AB152-AC152</f>
        <v>625</v>
      </c>
      <c r="R152" s="188" t="s">
        <v>19</v>
      </c>
      <c r="S152" s="197">
        <v>191</v>
      </c>
      <c r="T152" s="197">
        <v>34</v>
      </c>
      <c r="U152" s="197">
        <v>6</v>
      </c>
      <c r="V152" s="197">
        <v>2</v>
      </c>
      <c r="W152" s="197">
        <v>70</v>
      </c>
      <c r="X152" s="197">
        <v>71</v>
      </c>
      <c r="Y152" s="197">
        <v>13</v>
      </c>
      <c r="Z152" s="188">
        <f>S152+T152+U152*2+V152*3</f>
        <v>243</v>
      </c>
      <c r="AA152" s="197">
        <v>7</v>
      </c>
      <c r="AB152" s="197">
        <v>9</v>
      </c>
      <c r="AC152" s="197">
        <v>5</v>
      </c>
      <c r="AD152" s="9"/>
      <c r="AE152" s="37"/>
      <c r="AF152" s="37"/>
      <c r="AG152" s="37"/>
      <c r="AH152" s="37"/>
      <c r="AI152" s="37"/>
      <c r="AJ152" s="38"/>
      <c r="AK152" s="37"/>
      <c r="AL152" s="38"/>
    </row>
    <row r="153" spans="1:38" x14ac:dyDescent="0.2">
      <c r="A153" s="9"/>
      <c r="B153" s="196">
        <v>1967</v>
      </c>
      <c r="C153" s="207" t="s">
        <v>90</v>
      </c>
      <c r="D153" s="180">
        <f>(S153-V153)/(Q153-V153-Y153+AC153)</f>
        <v>0.33617021276595743</v>
      </c>
      <c r="E153" s="180">
        <f>Z153/P153</f>
        <v>0.45807453416149069</v>
      </c>
      <c r="F153" s="180">
        <f>(T153+U153+V153)/S153</f>
        <v>0.33879781420765026</v>
      </c>
      <c r="G153" s="180">
        <f>(Z153+W153)/P153</f>
        <v>0.63043478260869568</v>
      </c>
      <c r="H153" s="180">
        <f>(Z153/Q153)+((S153+X153+AA153)/(Q153+X153+AA153+AC153))</f>
        <v>0.92304700859415512</v>
      </c>
      <c r="I153" s="180">
        <f>V153/Z153</f>
        <v>8.4745762711864403E-2</v>
      </c>
      <c r="J153" s="180">
        <f>(AB153+AC153)/Z153</f>
        <v>2.3728813559322035E-2</v>
      </c>
      <c r="K153" s="180">
        <f>Y153/P153</f>
        <v>0.11645962732919254</v>
      </c>
      <c r="L153" s="180">
        <f>(X153+AA153)/P153</f>
        <v>0.11490683229813664</v>
      </c>
      <c r="M153" s="186">
        <f>(D153*0.7635+E153*0.7562+F153*0.75+G153*0.7248+H153*0.7021+I153*0.6285+1-J153*0.5884+1-K153*0.5276+L153*0.3663)/6.931</f>
        <v>0.57453724819827312</v>
      </c>
      <c r="N153" s="187">
        <f>M153/0.4863*100</f>
        <v>118.14461200869279</v>
      </c>
      <c r="O153" s="283">
        <f>(N153-100)/100*P153*0.3389</f>
        <v>39.60090602276415</v>
      </c>
      <c r="P153" s="197">
        <v>644</v>
      </c>
      <c r="Q153" s="188">
        <f>P153-X153-AA153-AB153-AC153</f>
        <v>563</v>
      </c>
      <c r="R153" s="188" t="s">
        <v>19</v>
      </c>
      <c r="S153" s="197">
        <v>183</v>
      </c>
      <c r="T153" s="197">
        <v>37</v>
      </c>
      <c r="U153" s="197">
        <v>0</v>
      </c>
      <c r="V153" s="197">
        <v>25</v>
      </c>
      <c r="W153" s="197">
        <v>111</v>
      </c>
      <c r="X153" s="197">
        <v>62</v>
      </c>
      <c r="Y153" s="197">
        <v>75</v>
      </c>
      <c r="Z153" s="188">
        <f>S153+T153+U153*2+V153*3</f>
        <v>295</v>
      </c>
      <c r="AA153" s="197">
        <v>12</v>
      </c>
      <c r="AB153" s="197">
        <v>0</v>
      </c>
      <c r="AC153" s="197">
        <v>7</v>
      </c>
      <c r="AD153" s="9"/>
      <c r="AE153" s="37"/>
      <c r="AF153" s="37"/>
      <c r="AG153" s="37"/>
      <c r="AH153" s="37"/>
      <c r="AI153" s="37"/>
      <c r="AJ153" s="38"/>
      <c r="AK153" s="37"/>
      <c r="AL153" s="38"/>
    </row>
    <row r="154" spans="1:38" x14ac:dyDescent="0.2">
      <c r="A154" s="9"/>
      <c r="B154" s="196">
        <v>1927</v>
      </c>
      <c r="C154" s="207" t="s">
        <v>230</v>
      </c>
      <c r="D154" s="180">
        <f>(S154-V154)/(Q154-V154-Y154+AC154)</f>
        <v>0.38</v>
      </c>
      <c r="E154" s="180">
        <f>Z154/P154</f>
        <v>0.4823695345557123</v>
      </c>
      <c r="F154" s="180">
        <f>(T154+U154+V154)/S154</f>
        <v>0.29113924050632911</v>
      </c>
      <c r="G154" s="180">
        <f>(Z154+W154)/P154</f>
        <v>0.66713681241184764</v>
      </c>
      <c r="H154" s="180">
        <f>(Z154/Q154)+((S154+X154+AA154)/(Q154+X154+AA154+AC154))</f>
        <v>0.99071584250898692</v>
      </c>
      <c r="I154" s="180">
        <f>V154/Z154</f>
        <v>2.6315789473684209E-2</v>
      </c>
      <c r="J154" s="180">
        <f>(AB154+AC154)/Z154</f>
        <v>8.1871345029239762E-2</v>
      </c>
      <c r="K154" s="180">
        <f>Y154/P154</f>
        <v>1.9746121297602257E-2</v>
      </c>
      <c r="L154" s="180">
        <f>(X154+AA154)/P154</f>
        <v>8.8857545839210156E-2</v>
      </c>
      <c r="M154" s="186">
        <f>(D154*0.7635+E154*0.7562+F154*0.75+G154*0.7248+H154*0.7021+I154*0.6285+1-J154*0.5884+1-K154*0.5276+L154*0.3663)/6.931</f>
        <v>0.5833027653709042</v>
      </c>
      <c r="N154" s="187">
        <f>M154/0.5021*100</f>
        <v>116.17262803642785</v>
      </c>
      <c r="O154" s="283">
        <f>(N154-100)/100*P154*0.3389</f>
        <v>38.859606818556877</v>
      </c>
      <c r="P154" s="197">
        <v>709</v>
      </c>
      <c r="Q154" s="189">
        <f>P154-X154-AA154-AB154-AC154</f>
        <v>618</v>
      </c>
      <c r="R154" s="188" t="s">
        <v>19</v>
      </c>
      <c r="S154" s="197">
        <v>237</v>
      </c>
      <c r="T154" s="197">
        <v>42</v>
      </c>
      <c r="U154" s="197">
        <v>18</v>
      </c>
      <c r="V154" s="197">
        <v>9</v>
      </c>
      <c r="W154" s="197">
        <v>131</v>
      </c>
      <c r="X154" s="197">
        <v>60</v>
      </c>
      <c r="Y154" s="197">
        <v>14</v>
      </c>
      <c r="Z154" s="188">
        <f>S154+T154+U154*2+V154*3</f>
        <v>342</v>
      </c>
      <c r="AA154" s="197">
        <v>3</v>
      </c>
      <c r="AB154" s="197">
        <v>23</v>
      </c>
      <c r="AC154" s="199">
        <v>5</v>
      </c>
      <c r="AD154" s="9"/>
      <c r="AE154" s="37"/>
      <c r="AF154" s="37"/>
      <c r="AG154" s="37"/>
      <c r="AH154" s="37"/>
      <c r="AI154" s="37"/>
      <c r="AJ154" s="38"/>
      <c r="AK154" s="37"/>
      <c r="AL154" s="38"/>
    </row>
    <row r="155" spans="1:38" x14ac:dyDescent="0.2">
      <c r="A155" s="9"/>
      <c r="B155" s="196">
        <v>1973</v>
      </c>
      <c r="C155" s="207" t="s">
        <v>381</v>
      </c>
      <c r="D155" s="180">
        <f>(S155-V155)/(Q155-V155-Y155+AC155)</f>
        <v>0.35545023696682465</v>
      </c>
      <c r="E155" s="180">
        <f>Z155/P155</f>
        <v>0.39494680851063829</v>
      </c>
      <c r="F155" s="180">
        <f>(T155+U155+V155)/S155</f>
        <v>0.21304347826086956</v>
      </c>
      <c r="G155" s="180">
        <f>(Z155+W155)/P155</f>
        <v>0.48005319148936171</v>
      </c>
      <c r="H155" s="180">
        <f>(Z155/Q155)+((S155+X155+AA155)/(Q155+X155+AA155+AC155))</f>
        <v>0.83756364063601474</v>
      </c>
      <c r="I155" s="180">
        <f>V155/Z155</f>
        <v>1.6835016835016835E-2</v>
      </c>
      <c r="J155" s="180">
        <f>(AB155+AC155)/Z155</f>
        <v>3.3670033670033669E-3</v>
      </c>
      <c r="K155" s="180">
        <f>Y155/P155</f>
        <v>5.5851063829787231E-2</v>
      </c>
      <c r="L155" s="180">
        <f>(X155+AA155)/P155</f>
        <v>9.4414893617021281E-2</v>
      </c>
      <c r="M155" s="186">
        <f>(D155*0.7635+E155*0.7562+F155*0.75+G155*0.7248+H155*0.7021+I155*0.6285+1-J155*0.5884+1-K155*0.5276+L155*0.3663)/6.931</f>
        <v>0.53088161074196871</v>
      </c>
      <c r="N155" s="187">
        <f>M155/0.4983*100</f>
        <v>106.5385532293736</v>
      </c>
      <c r="O155" s="283">
        <f>(N155-100)/100*P155*0.3389</f>
        <v>16.663685984549051</v>
      </c>
      <c r="P155" s="197">
        <v>752</v>
      </c>
      <c r="Q155" s="188">
        <f>P155-X155-AA155-AB155-AC155</f>
        <v>680</v>
      </c>
      <c r="R155" s="188" t="s">
        <v>19</v>
      </c>
      <c r="S155" s="197">
        <v>230</v>
      </c>
      <c r="T155" s="197">
        <v>36</v>
      </c>
      <c r="U155" s="197">
        <v>8</v>
      </c>
      <c r="V155" s="197">
        <v>5</v>
      </c>
      <c r="W155" s="197">
        <v>64</v>
      </c>
      <c r="X155" s="197">
        <v>65</v>
      </c>
      <c r="Y155" s="197">
        <v>42</v>
      </c>
      <c r="Z155" s="188">
        <f>S155+T155+U155*2+V155*3</f>
        <v>297</v>
      </c>
      <c r="AA155" s="197">
        <v>6</v>
      </c>
      <c r="AB155" s="197">
        <v>1</v>
      </c>
      <c r="AC155" s="197">
        <v>0</v>
      </c>
      <c r="AD155" s="9"/>
      <c r="AE155" s="37"/>
      <c r="AF155" s="37"/>
      <c r="AG155" s="37"/>
      <c r="AH155" s="37"/>
      <c r="AI155" s="37"/>
      <c r="AJ155" s="38"/>
      <c r="AK155" s="37"/>
      <c r="AL155" s="38"/>
    </row>
    <row r="156" spans="1:38" x14ac:dyDescent="0.2">
      <c r="A156" s="9"/>
      <c r="B156" s="196">
        <v>1945</v>
      </c>
      <c r="C156" s="207" t="s">
        <v>400</v>
      </c>
      <c r="D156" s="180">
        <f>(S156-V156)/(Q156-V156-Y156+AC156)</f>
        <v>0.37336244541484714</v>
      </c>
      <c r="E156" s="180">
        <f>Z156/P156</f>
        <v>0.42491467576791808</v>
      </c>
      <c r="F156" s="180">
        <f>(T156+U156+V156)/S156</f>
        <v>0.2824858757062147</v>
      </c>
      <c r="G156" s="180">
        <f>(Z156+W156)/P156</f>
        <v>0.59044368600682595</v>
      </c>
      <c r="H156" s="180">
        <f>(Z156/Q156)+((S156+X156+AA156)/(Q156+X156+AA156+AC156))</f>
        <v>0.95344823994277816</v>
      </c>
      <c r="I156" s="180">
        <f>V156/Z156</f>
        <v>2.4096385542168676E-2</v>
      </c>
      <c r="J156" s="180">
        <f>(AB156+AC156)/Z156</f>
        <v>2.8112449799196786E-2</v>
      </c>
      <c r="K156" s="180">
        <f>Y156/P156</f>
        <v>5.8020477815699661E-2</v>
      </c>
      <c r="L156" s="180">
        <f>(X156+AA156)/P156</f>
        <v>0.14505119453924914</v>
      </c>
      <c r="M156" s="186">
        <f>(D156*0.7635+E156*0.7562+F156*0.75+G156*0.7248+H156*0.7021+I156*0.6285+1-J156*0.5884+1-K156*0.5276+L156*0.3663)/6.931</f>
        <v>0.56799027064878627</v>
      </c>
      <c r="N156" s="187">
        <f>M156/0.4869*100</f>
        <v>116.65439939387683</v>
      </c>
      <c r="O156" s="283">
        <f>(N156-100)/100*P156*0.3389</f>
        <v>33.074871093867259</v>
      </c>
      <c r="P156" s="197">
        <v>586</v>
      </c>
      <c r="Q156" s="189">
        <f>P156-X156-AA156-AB156-AC156</f>
        <v>494</v>
      </c>
      <c r="R156" s="188" t="s">
        <v>19</v>
      </c>
      <c r="S156" s="197">
        <v>177</v>
      </c>
      <c r="T156" s="197">
        <v>34</v>
      </c>
      <c r="U156" s="197">
        <v>10</v>
      </c>
      <c r="V156" s="197">
        <v>6</v>
      </c>
      <c r="W156" s="197">
        <v>97</v>
      </c>
      <c r="X156" s="197">
        <v>81</v>
      </c>
      <c r="Y156" s="197">
        <v>34</v>
      </c>
      <c r="Z156" s="188">
        <f>S156+T156+U156*2+V156*3</f>
        <v>249</v>
      </c>
      <c r="AA156" s="197">
        <v>4</v>
      </c>
      <c r="AB156" s="197">
        <v>3</v>
      </c>
      <c r="AC156" s="199">
        <v>4</v>
      </c>
      <c r="AD156" s="9"/>
      <c r="AE156" s="37"/>
      <c r="AF156" s="37"/>
      <c r="AG156" s="37"/>
      <c r="AH156" s="37"/>
      <c r="AI156" s="37"/>
      <c r="AJ156" s="38"/>
      <c r="AK156" s="37"/>
      <c r="AL156" s="38"/>
    </row>
    <row r="157" spans="1:38" x14ac:dyDescent="0.2">
      <c r="A157" s="9"/>
      <c r="B157" s="196">
        <v>1950</v>
      </c>
      <c r="C157" s="207" t="s">
        <v>105</v>
      </c>
      <c r="D157" s="180">
        <f>(S157-V157)/(Q157-V157-Y157+AC157)</f>
        <v>0.33800350262697021</v>
      </c>
      <c r="E157" s="180">
        <f>Z157/P157</f>
        <v>0.36870748299319728</v>
      </c>
      <c r="F157" s="180">
        <f>(T157+U157+V157)/S157</f>
        <v>0.25</v>
      </c>
      <c r="G157" s="180">
        <f>(Z157+W157)/P157</f>
        <v>0.45850340136054424</v>
      </c>
      <c r="H157" s="180">
        <f>(Z157/Q157)+((S157+X157+AA157)/(Q157+X157+AA157+AC157))</f>
        <v>0.86040822287946828</v>
      </c>
      <c r="I157" s="180">
        <f>V157/Z157</f>
        <v>2.5830258302583026E-2</v>
      </c>
      <c r="J157" s="180">
        <f>(AB157+AC157)/Z157</f>
        <v>8.8560885608856083E-2</v>
      </c>
      <c r="K157" s="180">
        <f>Y157/P157</f>
        <v>5.3061224489795916E-2</v>
      </c>
      <c r="L157" s="180">
        <f>(X157+AA157)/P157</f>
        <v>0.13469387755102041</v>
      </c>
      <c r="M157" s="186">
        <f>(D157*0.7635+E157*0.7562+F157*0.75+G157*0.7248+H157*0.7021+I157*0.6285+1-J157*0.5884+1-K157*0.5276+L157*0.3663)/6.931</f>
        <v>0.52608086986610725</v>
      </c>
      <c r="N157" s="187">
        <f>M157/0.5128*100</f>
        <v>102.58987321881965</v>
      </c>
      <c r="O157" s="283">
        <f>(N157-100)/100*P157*0.3389</f>
        <v>6.4511540488561421</v>
      </c>
      <c r="P157" s="197">
        <v>735</v>
      </c>
      <c r="Q157" s="189">
        <f>P157-X157-AA157-AB157-AC157</f>
        <v>612</v>
      </c>
      <c r="R157" s="188" t="s">
        <v>19</v>
      </c>
      <c r="S157" s="197">
        <v>200</v>
      </c>
      <c r="T157" s="197">
        <v>36</v>
      </c>
      <c r="U157" s="197">
        <v>7</v>
      </c>
      <c r="V157" s="197">
        <v>7</v>
      </c>
      <c r="W157" s="197">
        <v>66</v>
      </c>
      <c r="X157" s="197">
        <v>92</v>
      </c>
      <c r="Y157" s="197">
        <v>39</v>
      </c>
      <c r="Z157" s="188">
        <f>S157+T157+U157*2+V157*3</f>
        <v>271</v>
      </c>
      <c r="AA157" s="197">
        <v>7</v>
      </c>
      <c r="AB157" s="197">
        <v>19</v>
      </c>
      <c r="AC157" s="199">
        <v>5</v>
      </c>
      <c r="AD157" s="9"/>
      <c r="AE157" s="37"/>
      <c r="AF157" s="37"/>
      <c r="AG157" s="37"/>
      <c r="AH157" s="37"/>
      <c r="AI157" s="37"/>
      <c r="AJ157" s="38"/>
      <c r="AK157" s="37"/>
      <c r="AL157" s="38"/>
    </row>
    <row r="158" spans="1:38" x14ac:dyDescent="0.2">
      <c r="A158" s="9"/>
      <c r="B158" s="196">
        <v>1973</v>
      </c>
      <c r="C158" s="207" t="s">
        <v>106</v>
      </c>
      <c r="D158" s="180">
        <f>(S158-V158)/(Q158-V158-Y158+AC158)</f>
        <v>0.31265508684863524</v>
      </c>
      <c r="E158" s="180">
        <f>Z158/P158</f>
        <v>0.45468998410174882</v>
      </c>
      <c r="F158" s="180">
        <f>(T158+U158+V158)/S158</f>
        <v>0.39240506329113922</v>
      </c>
      <c r="G158" s="180">
        <f>(Z158+W158)/P158</f>
        <v>0.64069952305246425</v>
      </c>
      <c r="H158" s="180">
        <f>(Z158/Q158)+((S158+X158+AA158)/(Q158+X158+AA158+AC158))</f>
        <v>0.91376009863404817</v>
      </c>
      <c r="I158" s="180">
        <f>V158/Z158</f>
        <v>0.11188811188811189</v>
      </c>
      <c r="J158" s="180">
        <f>(AB158+AC158)/Z158</f>
        <v>2.4475524475524476E-2</v>
      </c>
      <c r="K158" s="180">
        <f>Y158/P158</f>
        <v>0.17647058823529413</v>
      </c>
      <c r="L158" s="180">
        <f>(X158+AA158)/P158</f>
        <v>0.13195548489666137</v>
      </c>
      <c r="M158" s="186">
        <f>(D158*0.7635+E158*0.7562+F158*0.75+G158*0.7248+H158*0.7021+I158*0.6285+1-J158*0.5884+1-K158*0.5276+L158*0.3663)/6.931</f>
        <v>0.57624184003742696</v>
      </c>
      <c r="N158" s="187">
        <f>M158/0.4983*100</f>
        <v>115.64154927502047</v>
      </c>
      <c r="O158" s="283">
        <f>(N158-100)/100*P158*0.3389</f>
        <v>33.342793400124904</v>
      </c>
      <c r="P158" s="197">
        <v>629</v>
      </c>
      <c r="Q158" s="188">
        <f>P158-X158-AA158-AB158-AC158</f>
        <v>539</v>
      </c>
      <c r="R158" s="188" t="s">
        <v>19</v>
      </c>
      <c r="S158" s="197">
        <v>158</v>
      </c>
      <c r="T158" s="197">
        <v>28</v>
      </c>
      <c r="U158" s="197">
        <v>2</v>
      </c>
      <c r="V158" s="197">
        <v>32</v>
      </c>
      <c r="W158" s="197">
        <v>117</v>
      </c>
      <c r="X158" s="197">
        <v>76</v>
      </c>
      <c r="Y158" s="197">
        <v>111</v>
      </c>
      <c r="Z158" s="188">
        <f>S158+T158+U158*2+V158*3</f>
        <v>286</v>
      </c>
      <c r="AA158" s="197">
        <v>7</v>
      </c>
      <c r="AB158" s="197">
        <v>0</v>
      </c>
      <c r="AC158" s="197">
        <v>7</v>
      </c>
      <c r="AD158" s="9"/>
      <c r="AE158" s="37"/>
      <c r="AF158" s="37"/>
      <c r="AG158" s="37"/>
      <c r="AH158" s="37"/>
      <c r="AI158" s="37"/>
      <c r="AJ158" s="38"/>
      <c r="AK158" s="37"/>
      <c r="AL158" s="38"/>
    </row>
    <row r="159" spans="1:38" x14ac:dyDescent="0.2">
      <c r="A159" s="9"/>
      <c r="B159" s="196">
        <v>1990</v>
      </c>
      <c r="C159" s="207" t="s">
        <v>53</v>
      </c>
      <c r="D159" s="180">
        <f>(S159-V159)/(Q159-V159-Y159+AC159)</f>
        <v>0.32506203473945411</v>
      </c>
      <c r="E159" s="180">
        <f>Z159/P159</f>
        <v>0.47474747474747475</v>
      </c>
      <c r="F159" s="180">
        <f>(T159+U159+V159)/S159</f>
        <v>0.40251572327044027</v>
      </c>
      <c r="G159" s="180">
        <f>(Z159+W159)/P159</f>
        <v>0.57744107744107742</v>
      </c>
      <c r="H159" s="180">
        <f>(Z159/Q159)+((S159+X159+AA159)/(Q159+X159+AA159+AC159))</f>
        <v>1.0158763057536064</v>
      </c>
      <c r="I159" s="180">
        <f>V159/Z159</f>
        <v>9.9290780141843976E-2</v>
      </c>
      <c r="J159" s="180">
        <f>(AB159+AC159)/Z159</f>
        <v>1.4184397163120567E-2</v>
      </c>
      <c r="K159" s="180">
        <f>Y159/P159</f>
        <v>0.10101010101010101</v>
      </c>
      <c r="L159" s="180">
        <f>(X159+AA159)/P159</f>
        <v>0.17003367003367004</v>
      </c>
      <c r="M159" s="186">
        <f>(D159*0.7635+E159*0.7562+F159*0.75+G159*0.7248+H159*0.7021+I159*0.6285+1-J159*0.5884+1-K159*0.5276+L159*0.3663)/6.931</f>
        <v>0.5921079647450751</v>
      </c>
      <c r="N159" s="187">
        <f>M159/0.5025*100</f>
        <v>117.83243079503984</v>
      </c>
      <c r="O159" s="283">
        <f>(N159-100)/100*P159*0.3389</f>
        <v>35.897860130847668</v>
      </c>
      <c r="P159" s="197">
        <v>594</v>
      </c>
      <c r="Q159" s="188">
        <f>P159-X159-AA159-AB159-AC159</f>
        <v>489</v>
      </c>
      <c r="R159" s="188" t="s">
        <v>19</v>
      </c>
      <c r="S159" s="197">
        <v>159</v>
      </c>
      <c r="T159" s="197">
        <v>33</v>
      </c>
      <c r="U159" s="197">
        <v>3</v>
      </c>
      <c r="V159" s="197">
        <v>28</v>
      </c>
      <c r="W159" s="197">
        <v>61</v>
      </c>
      <c r="X159" s="197">
        <v>97</v>
      </c>
      <c r="Y159" s="197">
        <v>60</v>
      </c>
      <c r="Z159" s="188">
        <f>S159+T159+U159*2+V159*3</f>
        <v>282</v>
      </c>
      <c r="AA159" s="197">
        <v>4</v>
      </c>
      <c r="AB159" s="197">
        <v>2</v>
      </c>
      <c r="AC159" s="197">
        <v>2</v>
      </c>
      <c r="AD159" s="9"/>
      <c r="AE159" s="37"/>
      <c r="AF159" s="37"/>
      <c r="AG159" s="37"/>
      <c r="AH159" s="37"/>
      <c r="AI159" s="37"/>
      <c r="AJ159" s="38"/>
      <c r="AK159" s="37"/>
      <c r="AL159" s="38"/>
    </row>
    <row r="160" spans="1:38" x14ac:dyDescent="0.2">
      <c r="A160" s="9"/>
      <c r="B160" s="196">
        <v>1966</v>
      </c>
      <c r="C160" s="207" t="s">
        <v>167</v>
      </c>
      <c r="D160" s="180">
        <f>(S160-V160)/(Q160-V160-Y160+AC160)</f>
        <v>0.3425742574257426</v>
      </c>
      <c r="E160" s="180">
        <f>Z160/P160</f>
        <v>0.4956521739130435</v>
      </c>
      <c r="F160" s="180">
        <f>(T160+U160+V160)/S160</f>
        <v>0.35148514851485146</v>
      </c>
      <c r="G160" s="180">
        <f>(Z160+W160)/P160</f>
        <v>0.6681159420289855</v>
      </c>
      <c r="H160" s="180">
        <f>(Z160/Q160)+((S160+X160+AA160)/(Q160+X160+AA160+AC160))</f>
        <v>0.89599210158741716</v>
      </c>
      <c r="I160" s="180">
        <f>V160/Z160</f>
        <v>8.4795321637426896E-2</v>
      </c>
      <c r="J160" s="180">
        <f>(AB160+AC160)/Z160</f>
        <v>1.7543859649122806E-2</v>
      </c>
      <c r="K160" s="180">
        <f>Y160/P160</f>
        <v>0.15797101449275364</v>
      </c>
      <c r="L160" s="180">
        <f>(X160+AA160)/P160</f>
        <v>6.6666666666666666E-2</v>
      </c>
      <c r="M160" s="186">
        <f>(D160*0.7635+E160*0.7562+F160*0.75+G160*0.7248+H160*0.7021+I160*0.6285+1-J160*0.5884+1-K160*0.5276+L160*0.3663)/6.931</f>
        <v>0.57673546609956328</v>
      </c>
      <c r="N160" s="187">
        <f>M160/0.4957*100</f>
        <v>116.34768329626051</v>
      </c>
      <c r="O160" s="283">
        <f>(N160-100)/100*P160*0.3389</f>
        <v>38.227586096808544</v>
      </c>
      <c r="P160" s="197">
        <v>690</v>
      </c>
      <c r="Q160" s="188">
        <f>P160-X160-AA160-AB160-AC160</f>
        <v>638</v>
      </c>
      <c r="R160" s="188" t="s">
        <v>19</v>
      </c>
      <c r="S160" s="197">
        <v>202</v>
      </c>
      <c r="T160" s="197">
        <v>31</v>
      </c>
      <c r="U160" s="197">
        <v>11</v>
      </c>
      <c r="V160" s="197">
        <v>29</v>
      </c>
      <c r="W160" s="197">
        <v>119</v>
      </c>
      <c r="X160" s="197">
        <v>46</v>
      </c>
      <c r="Y160" s="197">
        <v>109</v>
      </c>
      <c r="Z160" s="188">
        <f>S160+T160+U160*2+V160*3</f>
        <v>342</v>
      </c>
      <c r="AA160" s="197">
        <v>0</v>
      </c>
      <c r="AB160" s="197">
        <v>1</v>
      </c>
      <c r="AC160" s="197">
        <v>5</v>
      </c>
      <c r="AD160" s="9"/>
      <c r="AE160" s="37"/>
      <c r="AF160" s="37"/>
      <c r="AG160" s="37"/>
      <c r="AH160" s="37"/>
      <c r="AI160" s="37"/>
      <c r="AJ160" s="38"/>
      <c r="AK160" s="37"/>
      <c r="AL160" s="38"/>
    </row>
    <row r="161" spans="1:38" x14ac:dyDescent="0.2">
      <c r="A161" s="9"/>
      <c r="B161" s="196">
        <v>1982</v>
      </c>
      <c r="C161" s="207" t="s">
        <v>89</v>
      </c>
      <c r="D161" s="180">
        <f>(S161-V161)/(Q161-V161-Y161+AC161)</f>
        <v>0.32730560578661844</v>
      </c>
      <c r="E161" s="180">
        <f>Z161/P161</f>
        <v>0.52130681818181823</v>
      </c>
      <c r="F161" s="180">
        <f>(T161+U161+V161)/S161</f>
        <v>0.41428571428571431</v>
      </c>
      <c r="G161" s="180">
        <f>(Z161+W161)/P161</f>
        <v>0.68323863636363635</v>
      </c>
      <c r="H161" s="180">
        <f>(Z161/Q161)+((S161+X161+AA161)/(Q161+X161+AA161+AC161))</f>
        <v>0.95652418447694032</v>
      </c>
      <c r="I161" s="180">
        <f>V161/Z161</f>
        <v>7.901907356948229E-2</v>
      </c>
      <c r="J161" s="180">
        <f>(AB161+AC161)/Z161</f>
        <v>3.8147138964577658E-2</v>
      </c>
      <c r="K161" s="180">
        <f>Y161/P161</f>
        <v>8.9488636363636367E-2</v>
      </c>
      <c r="L161" s="180">
        <f>(X161+AA161)/P161</f>
        <v>7.8125E-2</v>
      </c>
      <c r="M161" s="186">
        <f>(D161*0.7635+E161*0.7562+F161*0.75+G161*0.7248+H161*0.7021+I161*0.6285+1-J161*0.5884+1-K161*0.5276+L161*0.3663)/6.931</f>
        <v>0.59590708690308625</v>
      </c>
      <c r="N161" s="187">
        <f>M161/0.5036*100</f>
        <v>118.32944537392498</v>
      </c>
      <c r="O161" s="283">
        <f>(N161-100)/100*P161*0.3389</f>
        <v>43.731417222051164</v>
      </c>
      <c r="P161" s="197">
        <v>704</v>
      </c>
      <c r="Q161" s="188">
        <f>P161-X161-AA161-AB161-AC161</f>
        <v>635</v>
      </c>
      <c r="R161" s="188" t="s">
        <v>19</v>
      </c>
      <c r="S161" s="197">
        <v>210</v>
      </c>
      <c r="T161" s="197">
        <v>46</v>
      </c>
      <c r="U161" s="197">
        <v>12</v>
      </c>
      <c r="V161" s="197">
        <v>29</v>
      </c>
      <c r="W161" s="197">
        <v>114</v>
      </c>
      <c r="X161" s="197">
        <v>54</v>
      </c>
      <c r="Y161" s="197">
        <v>63</v>
      </c>
      <c r="Z161" s="188">
        <f>S161+T161+U161*2+V161*3</f>
        <v>367</v>
      </c>
      <c r="AA161" s="197">
        <v>1</v>
      </c>
      <c r="AB161" s="197">
        <v>4</v>
      </c>
      <c r="AC161" s="197">
        <v>10</v>
      </c>
      <c r="AD161" s="9"/>
      <c r="AE161" s="37"/>
      <c r="AF161" s="37"/>
      <c r="AG161" s="37"/>
      <c r="AH161" s="37"/>
      <c r="AI161" s="37"/>
      <c r="AJ161" s="38"/>
      <c r="AK161" s="37"/>
      <c r="AL161" s="38"/>
    </row>
    <row r="162" spans="1:38" x14ac:dyDescent="0.2">
      <c r="A162" s="9"/>
      <c r="B162" s="196">
        <v>1989</v>
      </c>
      <c r="C162" s="207" t="s">
        <v>89</v>
      </c>
      <c r="D162" s="180">
        <f>(S162-V162)/(Q162-V162-Y162+AC162)</f>
        <v>0.33079847908745247</v>
      </c>
      <c r="E162" s="180">
        <f>Z162/P162</f>
        <v>0.45507246376811594</v>
      </c>
      <c r="F162" s="180">
        <f>(T162+U162+V162)/S162</f>
        <v>0.3487179487179487</v>
      </c>
      <c r="G162" s="180">
        <f>(Z162+W162)/P162</f>
        <v>0.60434782608695647</v>
      </c>
      <c r="H162" s="180">
        <f>(Z162/Q162)+((S162+X162+AA162)/(Q162+X162+AA162+AC162))</f>
        <v>0.89568012744833081</v>
      </c>
      <c r="I162" s="180">
        <f>V162/Z162</f>
        <v>6.6878980891719744E-2</v>
      </c>
      <c r="J162" s="180">
        <f>(AB162+AC162)/Z162</f>
        <v>2.2292993630573247E-2</v>
      </c>
      <c r="K162" s="180">
        <f>Y162/P162</f>
        <v>0.10289855072463767</v>
      </c>
      <c r="L162" s="180">
        <f>(X162+AA162)/P162</f>
        <v>0.1</v>
      </c>
      <c r="M162" s="186">
        <f>(D162*0.7635+E162*0.7562+F162*0.75+G162*0.7248+H162*0.7021+I162*0.6285+1-J162*0.5884+1-K162*0.5276+L162*0.3663)/6.931</f>
        <v>0.56793740959866934</v>
      </c>
      <c r="N162" s="187">
        <f>M162/0.497*100</f>
        <v>114.27312064359545</v>
      </c>
      <c r="O162" s="283">
        <f>(N162-100)/100*P162*0.3389</f>
        <v>33.376408044190022</v>
      </c>
      <c r="P162" s="197">
        <v>690</v>
      </c>
      <c r="Q162" s="188">
        <f>P162-X162-AA162-AB162-AC162</f>
        <v>614</v>
      </c>
      <c r="R162" s="188" t="s">
        <v>19</v>
      </c>
      <c r="S162" s="197">
        <v>195</v>
      </c>
      <c r="T162" s="197">
        <v>38</v>
      </c>
      <c r="U162" s="197">
        <v>9</v>
      </c>
      <c r="V162" s="197">
        <v>21</v>
      </c>
      <c r="W162" s="197">
        <v>103</v>
      </c>
      <c r="X162" s="197">
        <v>63</v>
      </c>
      <c r="Y162" s="197">
        <v>71</v>
      </c>
      <c r="Z162" s="188">
        <f>S162+T162+U162*2+V162*3</f>
        <v>314</v>
      </c>
      <c r="AA162" s="197">
        <v>6</v>
      </c>
      <c r="AB162" s="197">
        <v>3</v>
      </c>
      <c r="AC162" s="197">
        <v>4</v>
      </c>
      <c r="AD162" s="9"/>
      <c r="AE162" s="37"/>
      <c r="AF162" s="37"/>
      <c r="AG162" s="37"/>
      <c r="AH162" s="37"/>
      <c r="AI162" s="37"/>
      <c r="AJ162" s="38"/>
      <c r="AK162" s="37"/>
      <c r="AL162" s="38"/>
    </row>
    <row r="163" spans="1:38" x14ac:dyDescent="0.2">
      <c r="A163" s="9"/>
      <c r="B163" s="196">
        <v>1977</v>
      </c>
      <c r="C163" s="207" t="s">
        <v>110</v>
      </c>
      <c r="D163" s="180">
        <f>(S163-V163)/(Q163-V163-Y163+AC163)</f>
        <v>0.40760869565217389</v>
      </c>
      <c r="E163" s="180">
        <f>Z163/P163</f>
        <v>0.50576368876080691</v>
      </c>
      <c r="F163" s="180">
        <f>(T163+U163+V163)/S163</f>
        <v>0.28451882845188287</v>
      </c>
      <c r="G163" s="180">
        <f>(Z163+W163)/P163</f>
        <v>0.64985590778097979</v>
      </c>
      <c r="H163" s="180">
        <f>(Z163/Q163)+((S163+X163+AA163)/(Q163+X163+AA163+AC163))</f>
        <v>1.0185786435786435</v>
      </c>
      <c r="I163" s="180">
        <f>V163/Z163</f>
        <v>3.9886039886039885E-2</v>
      </c>
      <c r="J163" s="180">
        <f>(AB163+AC163)/Z163</f>
        <v>1.7094017094017096E-2</v>
      </c>
      <c r="K163" s="180">
        <f>Y163/P163</f>
        <v>7.9250720461095103E-2</v>
      </c>
      <c r="L163" s="180">
        <f>(X163+AA163)/P163</f>
        <v>0.1037463976945245</v>
      </c>
      <c r="M163" s="186">
        <f>(D163*0.7635+E163*0.7562+F163*0.75+G163*0.7248+H163*0.7021+I163*0.6285+1-J163*0.5884+1-K163*0.5276+L163*0.3663)/6.931</f>
        <v>0.59218242263698972</v>
      </c>
      <c r="N163" s="187">
        <f>M163/0.5098*100</f>
        <v>116.1597533615123</v>
      </c>
      <c r="O163" s="283">
        <f>(N163-100)/100*P163*0.3389</f>
        <v>38.007190474662643</v>
      </c>
      <c r="P163" s="197">
        <v>694</v>
      </c>
      <c r="Q163" s="188">
        <f>P163-X163-AA163-AB163-AC163</f>
        <v>616</v>
      </c>
      <c r="R163" s="188" t="s">
        <v>19</v>
      </c>
      <c r="S163" s="197">
        <v>239</v>
      </c>
      <c r="T163" s="197">
        <v>38</v>
      </c>
      <c r="U163" s="197">
        <v>16</v>
      </c>
      <c r="V163" s="197">
        <v>14</v>
      </c>
      <c r="W163" s="197">
        <v>100</v>
      </c>
      <c r="X163" s="197">
        <v>69</v>
      </c>
      <c r="Y163" s="197">
        <v>55</v>
      </c>
      <c r="Z163" s="188">
        <f>S163+T163+U163*2+V163*3</f>
        <v>351</v>
      </c>
      <c r="AA163" s="197">
        <v>3</v>
      </c>
      <c r="AB163" s="197">
        <v>1</v>
      </c>
      <c r="AC163" s="197">
        <v>5</v>
      </c>
      <c r="AD163" s="9"/>
      <c r="AE163" s="37"/>
      <c r="AF163" s="37"/>
      <c r="AG163" s="37"/>
      <c r="AH163" s="37"/>
      <c r="AI163" s="37"/>
      <c r="AJ163" s="38"/>
      <c r="AK163" s="37"/>
      <c r="AL163" s="38"/>
    </row>
    <row r="164" spans="1:38" x14ac:dyDescent="0.2">
      <c r="A164" s="9"/>
      <c r="B164" s="210">
        <v>1986</v>
      </c>
      <c r="C164" s="211" t="s">
        <v>368</v>
      </c>
      <c r="D164" s="181">
        <f>(S164-V164)/(Q164-V164-Y164+AC164)</f>
        <v>0.23831070889894421</v>
      </c>
      <c r="E164" s="181">
        <f>Z164/P164</f>
        <v>0.28084252758274825</v>
      </c>
      <c r="F164" s="181">
        <f>(T164+U164+V164)/S164</f>
        <v>0.31843575418994413</v>
      </c>
      <c r="G164" s="181">
        <f>(Z164+R164)/P164</f>
        <v>0.35807422266800404</v>
      </c>
      <c r="H164" s="181">
        <f>(Z164/Q164)+((S164+X164+AA164)/(Q164+X164+AA164+AC164))</f>
        <v>0.55743919224967786</v>
      </c>
      <c r="I164" s="181">
        <f>V164/Z164</f>
        <v>7.4999999999999997E-2</v>
      </c>
      <c r="J164" s="181">
        <f>(AB164+AC164)/Z164</f>
        <v>3.5714285714285712E-2</v>
      </c>
      <c r="K164" s="181">
        <f>Y164/P164</f>
        <v>0.23871614844533601</v>
      </c>
      <c r="L164" s="181">
        <f>(X164+AA164)/P164</f>
        <v>7.1213640922768301E-2</v>
      </c>
      <c r="M164" s="190">
        <f>(1-D164*0.7635+1-E164*0.7562+1-F164*0.75+1-G164*0.7248+1-H164*0.7021+1-I164*0.6285+J164*0.5884+K164*0.5276+1-L164*0.3663)/11.068</f>
        <v>0.52310060121529556</v>
      </c>
      <c r="N164" s="191">
        <f>M164/0.4953*100</f>
        <v>105.61288132753796</v>
      </c>
      <c r="O164" s="192">
        <f>(N164-100)/100*P164*0.6611</f>
        <v>36.995438180984415</v>
      </c>
      <c r="P164" s="197">
        <v>997</v>
      </c>
      <c r="Q164" s="188">
        <f>P164-X164-AA164-AB164-AC164</f>
        <v>916</v>
      </c>
      <c r="R164" s="197">
        <v>77</v>
      </c>
      <c r="S164" s="197">
        <v>179</v>
      </c>
      <c r="T164" s="197">
        <v>34</v>
      </c>
      <c r="U164" s="197">
        <v>2</v>
      </c>
      <c r="V164" s="197">
        <v>21</v>
      </c>
      <c r="W164" s="188" t="s">
        <v>19</v>
      </c>
      <c r="X164" s="197">
        <v>67</v>
      </c>
      <c r="Y164" s="197">
        <v>238</v>
      </c>
      <c r="Z164" s="188">
        <f>S164+T164+U164*2+V164*3</f>
        <v>280</v>
      </c>
      <c r="AA164" s="197">
        <v>4</v>
      </c>
      <c r="AB164" s="197">
        <v>4</v>
      </c>
      <c r="AC164" s="197">
        <v>6</v>
      </c>
      <c r="AD164" s="9"/>
      <c r="AE164" s="37"/>
      <c r="AF164" s="37"/>
      <c r="AG164" s="37"/>
      <c r="AH164" s="37"/>
      <c r="AI164" s="37"/>
      <c r="AJ164" s="38"/>
      <c r="AK164" s="37"/>
      <c r="AL164" s="38"/>
    </row>
    <row r="165" spans="1:38" x14ac:dyDescent="0.2">
      <c r="A165" s="9"/>
      <c r="B165" s="196">
        <v>1961</v>
      </c>
      <c r="C165" s="207" t="s">
        <v>391</v>
      </c>
      <c r="D165" s="180">
        <f>(S165-V165)/(Q165-V165-Y165+AC165)</f>
        <v>0.20895522388059701</v>
      </c>
      <c r="E165" s="180">
        <f>Z165/P165</f>
        <v>0.52435530085959881</v>
      </c>
      <c r="F165" s="180">
        <f>(T165+U165+V165)/S165</f>
        <v>0.50943396226415094</v>
      </c>
      <c r="G165" s="180">
        <f>(Z165+W165)/P165</f>
        <v>0.72636103151862463</v>
      </c>
      <c r="H165" s="180">
        <f>(Z165/Q165)+((S165+X165+AA165)/(Q165+X165+AA165+AC165))</f>
        <v>0.99283181972706513</v>
      </c>
      <c r="I165" s="180">
        <f>V165/Z165</f>
        <v>0.16666666666666666</v>
      </c>
      <c r="J165" s="180">
        <f>(AB165+AC165)/Z165</f>
        <v>1.912568306010929E-2</v>
      </c>
      <c r="K165" s="180">
        <f>Y165/P165</f>
        <v>9.5988538681948427E-2</v>
      </c>
      <c r="L165" s="180">
        <f>(X165+AA165)/P165</f>
        <v>0.14469914040114612</v>
      </c>
      <c r="M165" s="186">
        <f>(D165*0.7635+E165*0.7562+F165*0.75+G165*0.7248+H165*0.7021+I165*0.6285+1-J165*0.5884+1-K165*0.5276+L165*0.3663)/6.931</f>
        <v>0.61427213246628543</v>
      </c>
      <c r="N165" s="187">
        <f>M165/0.5087*100</f>
        <v>120.75331874705826</v>
      </c>
      <c r="O165" s="283">
        <f>(N165-100)/100*P165*0.3389</f>
        <v>49.092432069178741</v>
      </c>
      <c r="P165" s="197">
        <v>698</v>
      </c>
      <c r="Q165" s="188">
        <f>P165-X165-AA165-AB165-AC165</f>
        <v>590</v>
      </c>
      <c r="R165" s="188" t="s">
        <v>19</v>
      </c>
      <c r="S165" s="197">
        <v>159</v>
      </c>
      <c r="T165" s="197">
        <v>16</v>
      </c>
      <c r="U165" s="197">
        <v>4</v>
      </c>
      <c r="V165" s="197">
        <v>61</v>
      </c>
      <c r="W165" s="197">
        <v>141</v>
      </c>
      <c r="X165" s="197">
        <v>94</v>
      </c>
      <c r="Y165" s="197">
        <v>67</v>
      </c>
      <c r="Z165" s="188">
        <f>S165+T165+U165*2+V165*3</f>
        <v>366</v>
      </c>
      <c r="AA165" s="197">
        <v>7</v>
      </c>
      <c r="AB165" s="197">
        <v>0</v>
      </c>
      <c r="AC165" s="197">
        <v>7</v>
      </c>
      <c r="AD165" s="9"/>
      <c r="AE165" s="37"/>
      <c r="AF165" s="37"/>
      <c r="AG165" s="37"/>
      <c r="AH165" s="37"/>
      <c r="AI165" s="37"/>
      <c r="AJ165" s="38"/>
      <c r="AK165" s="37"/>
      <c r="AL165" s="38"/>
    </row>
    <row r="166" spans="1:38" x14ac:dyDescent="0.2">
      <c r="A166" s="9"/>
      <c r="B166" s="196">
        <v>1960</v>
      </c>
      <c r="C166" s="207" t="s">
        <v>391</v>
      </c>
      <c r="D166" s="180">
        <f>(S166-V166)/(Q166-V166-Y166+AC166)</f>
        <v>0.255</v>
      </c>
      <c r="E166" s="180">
        <f>Z166/P166</f>
        <v>0.5017301038062284</v>
      </c>
      <c r="F166" s="180">
        <f>(T166+U166+V166)/S166</f>
        <v>0.45390070921985815</v>
      </c>
      <c r="G166" s="180">
        <f>(Z166+W166)/P166</f>
        <v>0.69550173010380623</v>
      </c>
      <c r="H166" s="180">
        <f>(Z166/Q166)+((S166+X166+AA166)/(Q166+X166+AA166+AC166))</f>
        <v>0.9520462067983454</v>
      </c>
      <c r="I166" s="180">
        <f>V166/Z166</f>
        <v>0.13448275862068965</v>
      </c>
      <c r="J166" s="180">
        <f>(AB166+AC166)/Z166</f>
        <v>2.0689655172413793E-2</v>
      </c>
      <c r="K166" s="180">
        <f>Y166/P166</f>
        <v>0.11245674740484429</v>
      </c>
      <c r="L166" s="180">
        <f>(X166+AA166)/P166</f>
        <v>0.12629757785467127</v>
      </c>
      <c r="M166" s="186">
        <f>(D166*0.7635+E166*0.7562+F166*0.75+G166*0.7248+H166*0.7021+I166*0.6285+1-J166*0.5884+1-K166*0.5276+L166*0.3663)/6.931</f>
        <v>0.59823068470820162</v>
      </c>
      <c r="N166" s="187">
        <f>M166/0.5026*100</f>
        <v>119.02719552491077</v>
      </c>
      <c r="O166" s="283">
        <f>(N166-100)/100*P166*0.3389</f>
        <v>37.271269736407255</v>
      </c>
      <c r="P166" s="197">
        <v>578</v>
      </c>
      <c r="Q166" s="188">
        <f>P166-X166-AA166-AB166-AC166</f>
        <v>499</v>
      </c>
      <c r="R166" s="188" t="s">
        <v>19</v>
      </c>
      <c r="S166" s="197">
        <v>141</v>
      </c>
      <c r="T166" s="197">
        <v>18</v>
      </c>
      <c r="U166" s="197">
        <v>7</v>
      </c>
      <c r="V166" s="197">
        <v>39</v>
      </c>
      <c r="W166" s="197">
        <v>112</v>
      </c>
      <c r="X166" s="197">
        <v>70</v>
      </c>
      <c r="Y166" s="197">
        <v>65</v>
      </c>
      <c r="Z166" s="188">
        <f>S166+T166+U166*2+V166*3</f>
        <v>290</v>
      </c>
      <c r="AA166" s="197">
        <v>3</v>
      </c>
      <c r="AB166" s="197">
        <v>1</v>
      </c>
      <c r="AC166" s="197">
        <v>5</v>
      </c>
      <c r="AD166" s="9"/>
      <c r="AE166" s="37"/>
      <c r="AF166" s="37"/>
      <c r="AG166" s="37"/>
      <c r="AH166" s="37"/>
      <c r="AI166" s="37"/>
      <c r="AJ166" s="38"/>
      <c r="AK166" s="37"/>
      <c r="AL166" s="38"/>
    </row>
    <row r="167" spans="1:38" x14ac:dyDescent="0.2">
      <c r="A167" s="9"/>
      <c r="B167" s="219">
        <v>1925</v>
      </c>
      <c r="C167" s="220" t="s">
        <v>409</v>
      </c>
      <c r="D167" s="221">
        <f>(S167-V167)/(Q167-V167-Y167+AC167)</f>
        <v>0.30303030303030304</v>
      </c>
      <c r="E167" s="221">
        <f>Z167/P167</f>
        <v>0.32388663967611336</v>
      </c>
      <c r="F167" s="221">
        <f>(T167+U167+V167)/S167</f>
        <v>0.19354838709677419</v>
      </c>
      <c r="G167" s="221">
        <f>(Z167+W167)/P167</f>
        <v>0.45344129554655871</v>
      </c>
      <c r="H167" s="221">
        <f>(Z167/Q167)+((S167+X167+AA167)/(Q167+X167+AA167+AC167))</f>
        <v>0.74838699890781113</v>
      </c>
      <c r="I167" s="221">
        <f>V167/Z167</f>
        <v>2.5000000000000001E-2</v>
      </c>
      <c r="J167" s="221">
        <f>(AB167+AC167)/Z167</f>
        <v>0.16250000000000001</v>
      </c>
      <c r="K167" s="221">
        <f>Y167/P167</f>
        <v>4.6558704453441298E-2</v>
      </c>
      <c r="L167" s="221">
        <f>(X167+AA167)/P167</f>
        <v>9.9190283400809723E-2</v>
      </c>
      <c r="M167" s="222">
        <f>(D167*0.7635+E167*0.7562+F167*0.75+G167*0.7248+H167*0.7021+I167*0.6285+1-J167*0.5884+1-K167*0.5276+L167*0.3663)/6.931</f>
        <v>0.49161900085048255</v>
      </c>
      <c r="N167" s="223">
        <f>M167/0.5108*100</f>
        <v>96.244910111684121</v>
      </c>
      <c r="O167" s="224">
        <f>(N167-100)/100*P167*0.3389</f>
        <v>-6.2866438179622417</v>
      </c>
      <c r="P167" s="197">
        <v>494</v>
      </c>
      <c r="Q167" s="189">
        <f>P167-X167-AA167-AB167-AC167</f>
        <v>419</v>
      </c>
      <c r="R167" s="188" t="s">
        <v>19</v>
      </c>
      <c r="S167" s="197">
        <v>124</v>
      </c>
      <c r="T167" s="197">
        <v>16</v>
      </c>
      <c r="U167" s="197">
        <v>4</v>
      </c>
      <c r="V167" s="197">
        <v>4</v>
      </c>
      <c r="W167" s="197">
        <v>64</v>
      </c>
      <c r="X167" s="197">
        <v>49</v>
      </c>
      <c r="Y167" s="197">
        <v>23</v>
      </c>
      <c r="Z167" s="188">
        <f>S167+T167+U167*2+V167*3</f>
        <v>160</v>
      </c>
      <c r="AA167" s="197">
        <v>0</v>
      </c>
      <c r="AB167" s="197">
        <v>22</v>
      </c>
      <c r="AC167" s="199">
        <v>4</v>
      </c>
      <c r="AD167" s="9"/>
      <c r="AE167" s="37"/>
      <c r="AF167" s="37"/>
      <c r="AG167" s="37"/>
      <c r="AH167" s="37"/>
      <c r="AI167" s="37"/>
      <c r="AJ167" s="38"/>
      <c r="AK167" s="37"/>
      <c r="AL167" s="38"/>
    </row>
    <row r="168" spans="1:38" x14ac:dyDescent="0.2">
      <c r="A168" s="9"/>
      <c r="B168" s="196">
        <v>1925</v>
      </c>
      <c r="C168" s="207" t="s">
        <v>260</v>
      </c>
      <c r="D168" s="180">
        <f>(S168-V168)/(Q168-V168-Y168+AC168)</f>
        <v>0.38407494145199061</v>
      </c>
      <c r="E168" s="228">
        <f>Z168/P168</f>
        <v>0.62871287128712872</v>
      </c>
      <c r="F168" s="180">
        <f>(T168+U168+V168)/S168</f>
        <v>0.44334975369458129</v>
      </c>
      <c r="G168" s="180">
        <f>(Z168+W168)/P168</f>
        <v>0.86468646864686471</v>
      </c>
      <c r="H168" s="180">
        <f>(Z168/Q168)+((S168+X168+AA168)/(Q168+X168+AA168+AC168))</f>
        <v>1.2501355932203391</v>
      </c>
      <c r="I168" s="180">
        <f>V168/Z168</f>
        <v>0.10236220472440945</v>
      </c>
      <c r="J168" s="180">
        <f>(AB168+AC168)/Z168</f>
        <v>5.5118110236220472E-2</v>
      </c>
      <c r="K168" s="180">
        <f>Y168/P168</f>
        <v>6.4356435643564358E-2</v>
      </c>
      <c r="L168" s="180">
        <f>(X168+AA168)/P168</f>
        <v>0.14026402640264027</v>
      </c>
      <c r="M168" s="186">
        <f>(D168*0.7635+E168*0.7562+F168*0.75+G168*0.7248+H168*0.7021+I168*0.6285+1-J168*0.5884+1-K168*0.5276+L168*0.3663)/6.931</f>
        <v>0.67161427872516899</v>
      </c>
      <c r="N168" s="187">
        <f>M168/0.5108*100</f>
        <v>131.48282668856089</v>
      </c>
      <c r="O168" s="283">
        <f>(N168-100)/100*P168*0.3389</f>
        <v>64.657351586404914</v>
      </c>
      <c r="P168" s="197">
        <v>606</v>
      </c>
      <c r="Q168" s="189">
        <f>P168-X168-AA168-AB168-AC168</f>
        <v>500</v>
      </c>
      <c r="R168" s="188" t="s">
        <v>19</v>
      </c>
      <c r="S168" s="197">
        <v>203</v>
      </c>
      <c r="T168" s="197">
        <v>41</v>
      </c>
      <c r="U168" s="197">
        <v>10</v>
      </c>
      <c r="V168" s="197">
        <v>39</v>
      </c>
      <c r="W168" s="197">
        <v>143</v>
      </c>
      <c r="X168" s="197">
        <v>83</v>
      </c>
      <c r="Y168" s="197">
        <v>39</v>
      </c>
      <c r="Z168" s="188">
        <f>S168+T168+U168*2+V168*3</f>
        <v>381</v>
      </c>
      <c r="AA168" s="197">
        <v>2</v>
      </c>
      <c r="AB168" s="197">
        <v>16</v>
      </c>
      <c r="AC168" s="199">
        <v>5</v>
      </c>
      <c r="AD168" s="9"/>
      <c r="AE168" s="37"/>
      <c r="AF168" s="37"/>
      <c r="AG168" s="37"/>
      <c r="AH168" s="37"/>
      <c r="AI168" s="37"/>
      <c r="AJ168" s="38"/>
      <c r="AK168" s="37"/>
      <c r="AL168" s="38"/>
    </row>
    <row r="169" spans="1:38" x14ac:dyDescent="0.2">
      <c r="A169" s="9"/>
      <c r="B169" s="196">
        <v>1929</v>
      </c>
      <c r="C169" s="207" t="s">
        <v>260</v>
      </c>
      <c r="D169" s="180">
        <f>(S169-V169)/(Q169-V169-Y169+AC169)</f>
        <v>0.38152610441767071</v>
      </c>
      <c r="E169" s="180">
        <f>Z169/P169</f>
        <v>0.574438202247191</v>
      </c>
      <c r="F169" s="180">
        <f>(T169+U169+V169)/S169</f>
        <v>0.41048034934497818</v>
      </c>
      <c r="G169" s="180">
        <f>(Z169+W169)/P169</f>
        <v>0.7837078651685393</v>
      </c>
      <c r="H169" s="180">
        <f>(Z169/Q169)+((S169+X169+AA169)/(Q169+X169+AA169+AC169))</f>
        <v>1.1456619005933275</v>
      </c>
      <c r="I169" s="180">
        <f>V169/Z169</f>
        <v>9.5354523227383858E-2</v>
      </c>
      <c r="J169" s="180">
        <f>(AB169+AC169)/Z169</f>
        <v>6.8459657701711488E-2</v>
      </c>
      <c r="K169" s="180">
        <f>Y169/P169</f>
        <v>9.1292134831460675E-2</v>
      </c>
      <c r="L169" s="180">
        <f>(X169+AA169)/P169</f>
        <v>0.12359550561797752</v>
      </c>
      <c r="M169" s="186">
        <f>(D169*0.7635+E169*0.7562+F169*0.75+G169*0.7248+H169*0.7021+I169*0.6285+1-J169*0.5884+1-K169*0.5276+L169*0.3663)/6.931</f>
        <v>0.63810449444224404</v>
      </c>
      <c r="N169" s="187">
        <f>M169/0.5156*100</f>
        <v>123.75959938755705</v>
      </c>
      <c r="O169" s="283">
        <f>(N169-100)/100*P169*0.3389</f>
        <v>57.331153014994747</v>
      </c>
      <c r="P169" s="197">
        <v>712</v>
      </c>
      <c r="Q169" s="189">
        <f>P169-X169-AA169-AB169-AC169</f>
        <v>596</v>
      </c>
      <c r="R169" s="188" t="s">
        <v>19</v>
      </c>
      <c r="S169" s="197">
        <v>229</v>
      </c>
      <c r="T169" s="197">
        <v>47</v>
      </c>
      <c r="U169" s="197">
        <v>8</v>
      </c>
      <c r="V169" s="197">
        <v>39</v>
      </c>
      <c r="W169" s="197">
        <v>149</v>
      </c>
      <c r="X169" s="197">
        <v>87</v>
      </c>
      <c r="Y169" s="197">
        <v>65</v>
      </c>
      <c r="Z169" s="188">
        <f>S169+T169+U169*2+V169*3</f>
        <v>409</v>
      </c>
      <c r="AA169" s="197">
        <v>1</v>
      </c>
      <c r="AB169" s="197">
        <v>22</v>
      </c>
      <c r="AC169" s="199">
        <v>6</v>
      </c>
      <c r="AD169" s="9"/>
      <c r="AE169" s="37"/>
      <c r="AF169" s="37"/>
      <c r="AG169" s="37"/>
      <c r="AH169" s="37"/>
      <c r="AI169" s="37"/>
      <c r="AJ169" s="38"/>
      <c r="AK169" s="37"/>
      <c r="AL169" s="38"/>
    </row>
    <row r="170" spans="1:38" x14ac:dyDescent="0.2">
      <c r="A170" s="9"/>
      <c r="B170" s="210">
        <v>1981</v>
      </c>
      <c r="C170" s="211" t="s">
        <v>108</v>
      </c>
      <c r="D170" s="181">
        <f>(S170-V170)/(Q170-V170-Y170+AC170)</f>
        <v>0.24186046511627907</v>
      </c>
      <c r="E170" s="181">
        <f>Z170/P170</f>
        <v>0.25925925925925924</v>
      </c>
      <c r="F170" s="181">
        <f>(T170+U170+V170)/S170</f>
        <v>0.25454545454545452</v>
      </c>
      <c r="G170" s="181">
        <f>(Z170+R170)/P170</f>
        <v>0.28956228956228958</v>
      </c>
      <c r="H170" s="181">
        <f>(Z170/Q170)+((S170+X170+AA170)/(Q170+X170+AA170+AC170))</f>
        <v>0.51247329781226214</v>
      </c>
      <c r="I170" s="181">
        <f>V170/Z170</f>
        <v>3.896103896103896E-2</v>
      </c>
      <c r="J170" s="181">
        <f>(AB170+AC170)/Z170</f>
        <v>6.4935064935064929E-2</v>
      </c>
      <c r="K170" s="181">
        <f>Y170/P170</f>
        <v>0.2053872053872054</v>
      </c>
      <c r="L170" s="181">
        <f>(X170+AA170)/P170</f>
        <v>4.7138047138047139E-2</v>
      </c>
      <c r="M170" s="190">
        <f>(1-D170*0.7635+1-E170*0.7562+1-F170*0.75+1-G170*0.7248+1-H170*0.7021+1-I170*0.6285+J170*0.5884+K170*0.5276+1-L170*0.3663)/11.068</f>
        <v>0.53880671705551542</v>
      </c>
      <c r="N170" s="191">
        <f>M170/0.5043*100</f>
        <v>106.84249792891443</v>
      </c>
      <c r="O170" s="192">
        <f>(N170-100)/100*P170*0.6611</f>
        <v>13.435018880991821</v>
      </c>
      <c r="P170" s="197">
        <v>297</v>
      </c>
      <c r="Q170" s="188">
        <f>P170-X170-AA170-AB170-AC170</f>
        <v>278</v>
      </c>
      <c r="R170" s="197">
        <v>9</v>
      </c>
      <c r="S170" s="197">
        <v>55</v>
      </c>
      <c r="T170" s="197">
        <v>9</v>
      </c>
      <c r="U170" s="197">
        <v>2</v>
      </c>
      <c r="V170" s="197">
        <v>3</v>
      </c>
      <c r="W170" s="188" t="s">
        <v>19</v>
      </c>
      <c r="X170" s="197">
        <v>13</v>
      </c>
      <c r="Y170" s="197">
        <v>61</v>
      </c>
      <c r="Z170" s="188">
        <f>S170+T170+U170*2+V170*3</f>
        <v>77</v>
      </c>
      <c r="AA170" s="197">
        <v>1</v>
      </c>
      <c r="AB170" s="197">
        <v>4</v>
      </c>
      <c r="AC170" s="197">
        <v>1</v>
      </c>
      <c r="AD170" s="9"/>
      <c r="AE170" s="37"/>
      <c r="AF170" s="37"/>
      <c r="AG170" s="37"/>
      <c r="AH170" s="37"/>
      <c r="AI170" s="37"/>
      <c r="AJ170" s="38"/>
      <c r="AK170" s="37"/>
      <c r="AL170" s="38"/>
    </row>
    <row r="171" spans="1:38" x14ac:dyDescent="0.2">
      <c r="A171" s="9"/>
      <c r="B171" s="196">
        <v>1953</v>
      </c>
      <c r="C171" s="207" t="s">
        <v>188</v>
      </c>
      <c r="D171" s="180">
        <f>(S171-V171)/(Q171-V171-Y171+AC171)</f>
        <v>0.28809523809523807</v>
      </c>
      <c r="E171" s="180">
        <f>Z171/P171</f>
        <v>0.53728813559322031</v>
      </c>
      <c r="F171" s="180">
        <f>(T171+U171+V171)/S171</f>
        <v>0.43209876543209874</v>
      </c>
      <c r="G171" s="180">
        <f>(Z171+W171)/P171</f>
        <v>0.7779661016949152</v>
      </c>
      <c r="H171" s="180">
        <f>(Z171/Q171)+((S171+X171+AA171)/(Q171+X171+AA171+AC171))</f>
        <v>1.0116467717470159</v>
      </c>
      <c r="I171" s="180">
        <f>V171/Z171</f>
        <v>0.12933753943217666</v>
      </c>
      <c r="J171" s="180">
        <f>(AB171+AC171)/Z171</f>
        <v>1.5772870662460567E-2</v>
      </c>
      <c r="K171" s="180">
        <f>Y171/P171</f>
        <v>9.8305084745762716E-2</v>
      </c>
      <c r="L171" s="180">
        <f>(X171+AA171)/P171</f>
        <v>0.12033898305084746</v>
      </c>
      <c r="M171" s="186">
        <f>(D171*0.7635+E171*0.7562+F171*0.75+G171*0.7248+H171*0.7021+I171*0.6285+1-J171*0.5884+1-K171*0.5276+L171*0.3663)/6.931</f>
        <v>0.61877094195100679</v>
      </c>
      <c r="N171" s="187">
        <f>M171/0.5088*100</f>
        <v>121.61378576081108</v>
      </c>
      <c r="O171" s="283">
        <f>(N171-100)/100*P171*0.3389</f>
        <v>43.21698076659937</v>
      </c>
      <c r="P171" s="197">
        <v>590</v>
      </c>
      <c r="Q171" s="189">
        <f>P171-X171-AA171-AB171-AC171</f>
        <v>514</v>
      </c>
      <c r="R171" s="188" t="s">
        <v>19</v>
      </c>
      <c r="S171" s="197">
        <v>162</v>
      </c>
      <c r="T171" s="197">
        <v>26</v>
      </c>
      <c r="U171" s="197">
        <v>3</v>
      </c>
      <c r="V171" s="197">
        <v>41</v>
      </c>
      <c r="W171" s="197">
        <v>142</v>
      </c>
      <c r="X171" s="197">
        <v>67</v>
      </c>
      <c r="Y171" s="197">
        <v>58</v>
      </c>
      <c r="Z171" s="188">
        <f>S171+T171+U171*2+V171*3</f>
        <v>317</v>
      </c>
      <c r="AA171" s="197">
        <v>4</v>
      </c>
      <c r="AB171" s="197">
        <v>0</v>
      </c>
      <c r="AC171" s="199">
        <v>5</v>
      </c>
      <c r="AD171" s="9"/>
      <c r="AE171" s="37"/>
      <c r="AF171" s="37"/>
      <c r="AG171" s="37"/>
      <c r="AH171" s="37"/>
      <c r="AI171" s="37"/>
      <c r="AJ171" s="38"/>
      <c r="AK171" s="37"/>
      <c r="AL171" s="38"/>
    </row>
    <row r="172" spans="1:38" x14ac:dyDescent="0.2">
      <c r="A172" s="9"/>
      <c r="B172" s="196">
        <v>1951</v>
      </c>
      <c r="C172" s="207" t="s">
        <v>188</v>
      </c>
      <c r="D172" s="180">
        <f>(S172-V172)/(Q172-V172-Y172+AC172)</f>
        <v>0.31264916467780429</v>
      </c>
      <c r="E172" s="180">
        <f>Z172/P172</f>
        <v>0.53024911032028466</v>
      </c>
      <c r="F172" s="180">
        <f>(T172+U172+V172)/S172</f>
        <v>0.40853658536585363</v>
      </c>
      <c r="G172" s="180">
        <f>(Z172+W172)/P172</f>
        <v>0.72241992882562278</v>
      </c>
      <c r="H172" s="180">
        <f>(Z172/Q172)+((S172+X172+AA172)/(Q172+X172+AA172+AC172))</f>
        <v>0.988048813405218</v>
      </c>
      <c r="I172" s="180">
        <f>V172/Z172</f>
        <v>0.11073825503355705</v>
      </c>
      <c r="J172" s="180">
        <f>(AB172+AC172)/Z172</f>
        <v>1.3422818791946308E-2</v>
      </c>
      <c r="K172" s="180">
        <f>Y172/P172</f>
        <v>9.4306049822064059E-2</v>
      </c>
      <c r="L172" s="180">
        <f>(X172+AA172)/P172</f>
        <v>0.10142348754448399</v>
      </c>
      <c r="M172" s="186">
        <f>(D172*0.7635+E172*0.7562+F172*0.75+G172*0.7248+H172*0.7021+I172*0.6285+1-J172*0.5884+1-K172*0.5276+L172*0.3663)/6.931</f>
        <v>0.60777666254473239</v>
      </c>
      <c r="N172" s="187">
        <f>M172/0.504*100</f>
        <v>120.59060764776437</v>
      </c>
      <c r="O172" s="283">
        <f>(N172-100)/100*P172*0.3389</f>
        <v>39.217241956869685</v>
      </c>
      <c r="P172" s="197">
        <v>562</v>
      </c>
      <c r="Q172" s="189">
        <f>P172-X172-AA172-AB172-AC172</f>
        <v>501</v>
      </c>
      <c r="R172" s="188" t="s">
        <v>19</v>
      </c>
      <c r="S172" s="197">
        <v>164</v>
      </c>
      <c r="T172" s="197">
        <v>33</v>
      </c>
      <c r="U172" s="197">
        <v>1</v>
      </c>
      <c r="V172" s="197">
        <v>33</v>
      </c>
      <c r="W172" s="197">
        <v>108</v>
      </c>
      <c r="X172" s="197">
        <v>53</v>
      </c>
      <c r="Y172" s="197">
        <v>53</v>
      </c>
      <c r="Z172" s="188">
        <f>S172+T172+U172*2+V172*3</f>
        <v>298</v>
      </c>
      <c r="AA172" s="197">
        <v>4</v>
      </c>
      <c r="AB172" s="197">
        <v>0</v>
      </c>
      <c r="AC172" s="199">
        <v>4</v>
      </c>
      <c r="AD172" s="9"/>
      <c r="AE172" s="37"/>
      <c r="AF172" s="37"/>
      <c r="AG172" s="37"/>
      <c r="AH172" s="37"/>
      <c r="AI172" s="37"/>
      <c r="AJ172" s="38"/>
      <c r="AK172" s="37"/>
      <c r="AL172" s="38"/>
    </row>
    <row r="173" spans="1:38" x14ac:dyDescent="0.2">
      <c r="A173" s="9"/>
      <c r="B173" s="196">
        <v>1955</v>
      </c>
      <c r="C173" s="207" t="s">
        <v>188</v>
      </c>
      <c r="D173" s="180">
        <f>(S173-V173)/(Q173-V173-Y173+AC173)</f>
        <v>0.2879581151832461</v>
      </c>
      <c r="E173" s="180">
        <f>Z173/P173</f>
        <v>0.49808429118773945</v>
      </c>
      <c r="F173" s="180">
        <f>(T173+U173+V173)/S173</f>
        <v>0.37323943661971831</v>
      </c>
      <c r="G173" s="180">
        <f>(Z173+W173)/P173</f>
        <v>0.70306513409961691</v>
      </c>
      <c r="H173" s="180">
        <f>(Z173/Q173)+((S173+X173+AA173)/(Q173+X173+AA173+AC173))</f>
        <v>0.97754378052059576</v>
      </c>
      <c r="I173" s="180">
        <f>V173/Z173</f>
        <v>0.12307692307692308</v>
      </c>
      <c r="J173" s="180">
        <f>(AB173+AC173)/Z173</f>
        <v>5.3846153846153849E-2</v>
      </c>
      <c r="K173" s="180">
        <f>Y173/P173</f>
        <v>7.8544061302681989E-2</v>
      </c>
      <c r="L173" s="180">
        <f>(X173+AA173)/P173</f>
        <v>0.11877394636015326</v>
      </c>
      <c r="M173" s="186">
        <f>(D173*0.7635+E173*0.7562+F173*0.75+G173*0.7248+H173*0.7021+I173*0.6285+1-J173*0.5884+1-K173*0.5276+L173*0.3663)/6.931</f>
        <v>0.59444378241833462</v>
      </c>
      <c r="N173" s="187">
        <f>M173/0.5064*100</f>
        <v>117.386212957807</v>
      </c>
      <c r="O173" s="283">
        <f>(N173-100)/100*P173*0.3389</f>
        <v>30.757219122712144</v>
      </c>
      <c r="P173" s="197">
        <v>522</v>
      </c>
      <c r="Q173" s="188">
        <f>P173-X173-AA173-AB173-AC173</f>
        <v>446</v>
      </c>
      <c r="R173" s="188" t="s">
        <v>19</v>
      </c>
      <c r="S173" s="197">
        <v>142</v>
      </c>
      <c r="T173" s="197">
        <v>20</v>
      </c>
      <c r="U173" s="197">
        <v>1</v>
      </c>
      <c r="V173" s="197">
        <v>32</v>
      </c>
      <c r="W173" s="197">
        <v>107</v>
      </c>
      <c r="X173" s="197">
        <v>56</v>
      </c>
      <c r="Y173" s="197">
        <v>41</v>
      </c>
      <c r="Z173" s="188">
        <f>S173+T173+U173*2+V173*3</f>
        <v>260</v>
      </c>
      <c r="AA173" s="197">
        <v>6</v>
      </c>
      <c r="AB173" s="197">
        <v>5</v>
      </c>
      <c r="AC173" s="197">
        <v>9</v>
      </c>
      <c r="AD173" s="9"/>
      <c r="AE173" s="37"/>
      <c r="AF173" s="37"/>
      <c r="AG173" s="37"/>
      <c r="AH173" s="37"/>
      <c r="AI173" s="37"/>
      <c r="AJ173" s="38"/>
      <c r="AK173" s="37"/>
      <c r="AL173" s="38"/>
    </row>
    <row r="174" spans="1:38" x14ac:dyDescent="0.2">
      <c r="A174" s="9"/>
      <c r="B174" s="196">
        <v>2011</v>
      </c>
      <c r="C174" s="207" t="s">
        <v>345</v>
      </c>
      <c r="D174" s="180">
        <f>(S174-V174)/(Q174-V174-Y174+AC174)</f>
        <v>0.34562211981566821</v>
      </c>
      <c r="E174" s="180">
        <f>Z174/P174</f>
        <v>0.52584933530280653</v>
      </c>
      <c r="F174" s="180">
        <f>(T174+U174+V174)/S174</f>
        <v>0.41884816753926701</v>
      </c>
      <c r="G174" s="180">
        <f>(Z174+W174)/P174</f>
        <v>0.69128508124076804</v>
      </c>
      <c r="H174" s="180">
        <f>(Z174/Q174)+((S174+X174+AA174)/(Q174+X174+AA174+AC174))</f>
        <v>0.98675051748072118</v>
      </c>
      <c r="I174" s="180">
        <f>V174/Z174</f>
        <v>0.1151685393258427</v>
      </c>
      <c r="J174" s="180">
        <f>(AB174+AC174)/Z174</f>
        <v>1.4044943820224719E-2</v>
      </c>
      <c r="K174" s="180">
        <f>Y174/P174</f>
        <v>0.18906942392909898</v>
      </c>
      <c r="L174" s="180">
        <f>(X174+AA174)/P174</f>
        <v>0.10930576070901034</v>
      </c>
      <c r="M174" s="186">
        <f>(D174*0.7635+E174*0.7562+F174*0.75+G174*0.7248+H174*0.7021+I174*0.6285+1-J174*0.5884+1-K174*0.5276+L174*0.3663)/6.931</f>
        <v>0.60220919070861456</v>
      </c>
      <c r="N174" s="187">
        <f>M174/0.5098*100</f>
        <v>118.12655761251756</v>
      </c>
      <c r="O174" s="283">
        <f>(N174-100)/100*P174*0.3389</f>
        <v>41.588721837952491</v>
      </c>
      <c r="P174" s="197">
        <v>677</v>
      </c>
      <c r="Q174" s="188">
        <f>P174-X174-AA174-AB174-AC174</f>
        <v>598</v>
      </c>
      <c r="R174" s="188" t="s">
        <v>19</v>
      </c>
      <c r="S174" s="197">
        <v>191</v>
      </c>
      <c r="T174" s="197">
        <v>36</v>
      </c>
      <c r="U174" s="197">
        <v>3</v>
      </c>
      <c r="V174" s="197">
        <v>41</v>
      </c>
      <c r="W174" s="197">
        <v>112</v>
      </c>
      <c r="X174" s="197">
        <v>63</v>
      </c>
      <c r="Y174" s="197">
        <v>128</v>
      </c>
      <c r="Z174" s="188">
        <f>S174+T174+U174*2+V174*3</f>
        <v>356</v>
      </c>
      <c r="AA174" s="197">
        <v>11</v>
      </c>
      <c r="AB174" s="197">
        <v>0</v>
      </c>
      <c r="AC174" s="197">
        <v>5</v>
      </c>
      <c r="AD174" s="9"/>
      <c r="AE174" s="37"/>
      <c r="AF174" s="37"/>
      <c r="AG174" s="37"/>
      <c r="AH174" s="37"/>
      <c r="AI174" s="37"/>
      <c r="AJ174" s="38"/>
      <c r="AK174" s="37"/>
      <c r="AL174" s="38"/>
    </row>
    <row r="175" spans="1:38" x14ac:dyDescent="0.2">
      <c r="A175" s="9"/>
      <c r="B175" s="196">
        <v>2006</v>
      </c>
      <c r="C175" s="207" t="s">
        <v>353</v>
      </c>
      <c r="D175" s="180">
        <f>(S175-V175)/(Q175-V175-Y175+AC175)</f>
        <v>0.35632183908045978</v>
      </c>
      <c r="E175" s="180">
        <f>Z175/P175</f>
        <v>0.54403409090909094</v>
      </c>
      <c r="F175" s="180">
        <f>(T175+U175+V175)/S175</f>
        <v>0.46153846153846156</v>
      </c>
      <c r="G175" s="180">
        <f>(Z175+W175)/P175</f>
        <v>0.75568181818181823</v>
      </c>
      <c r="H175" s="180">
        <f>(Z175/Q175)+((S175+X175+AA175)/(Q175+X175+AA175+AC175))</f>
        <v>1.0839241707088092</v>
      </c>
      <c r="I175" s="180">
        <f>V175/Z175</f>
        <v>0.1514360313315927</v>
      </c>
      <c r="J175" s="180">
        <f>(AB175+AC175)/Z175</f>
        <v>1.5665796344647518E-2</v>
      </c>
      <c r="K175" s="180">
        <f>Y175/P175</f>
        <v>0.25710227272727271</v>
      </c>
      <c r="L175" s="180">
        <f>(X175+AA175)/P175</f>
        <v>0.16619318181818182</v>
      </c>
      <c r="M175" s="186">
        <f>(D175*0.7635+E175*0.7562+F175*0.75+G175*0.7248+H175*0.7021+I175*0.6285+1-J175*0.5884+1-K175*0.5276+L175*0.3663)/6.931</f>
        <v>0.62754792763553224</v>
      </c>
      <c r="N175" s="187">
        <f>M175/0.4833*100</f>
        <v>129.84645719750304</v>
      </c>
      <c r="O175" s="283">
        <f>(N175-100)/100*P175*0.3389</f>
        <v>71.209348983405803</v>
      </c>
      <c r="P175" s="197">
        <v>704</v>
      </c>
      <c r="Q175" s="188">
        <f>P175-X175-AA175-AB175-AC175</f>
        <v>581</v>
      </c>
      <c r="R175" s="188" t="s">
        <v>19</v>
      </c>
      <c r="S175" s="197">
        <v>182</v>
      </c>
      <c r="T175" s="197">
        <v>25</v>
      </c>
      <c r="U175" s="197">
        <v>1</v>
      </c>
      <c r="V175" s="197">
        <v>58</v>
      </c>
      <c r="W175" s="197">
        <v>149</v>
      </c>
      <c r="X175" s="197">
        <v>108</v>
      </c>
      <c r="Y175" s="197">
        <v>181</v>
      </c>
      <c r="Z175" s="188">
        <f>S175+T175+U175*2+V175*3</f>
        <v>383</v>
      </c>
      <c r="AA175" s="197">
        <v>9</v>
      </c>
      <c r="AB175" s="197">
        <v>0</v>
      </c>
      <c r="AC175" s="197">
        <v>6</v>
      </c>
      <c r="AD175" s="9"/>
      <c r="AE175" s="37"/>
      <c r="AF175" s="37"/>
      <c r="AG175" s="37"/>
      <c r="AH175" s="37"/>
      <c r="AI175" s="37"/>
      <c r="AJ175" s="38"/>
      <c r="AK175" s="37"/>
      <c r="AL175" s="38"/>
    </row>
    <row r="176" spans="1:38" x14ac:dyDescent="0.2">
      <c r="A176" s="9"/>
      <c r="B176" s="196">
        <v>1984</v>
      </c>
      <c r="C176" s="207" t="s">
        <v>73</v>
      </c>
      <c r="D176" s="180">
        <f>(S176-V176)/(Q176-V176-Y176+AC176)</f>
        <v>0.34807692307692306</v>
      </c>
      <c r="E176" s="180">
        <f>Z176/P176</f>
        <v>0.47285714285714286</v>
      </c>
      <c r="F176" s="180">
        <f>(T176+U176+V176)/S176</f>
        <v>0.37</v>
      </c>
      <c r="G176" s="180">
        <f>(Z176+W176)/P176</f>
        <v>0.59285714285714286</v>
      </c>
      <c r="H176" s="180">
        <f>(Z176/Q176)+((S176+X176+AA176)/(Q176+X176+AA176+AC176))</f>
        <v>0.88816631733982887</v>
      </c>
      <c r="I176" s="180">
        <f>V176/Z176</f>
        <v>5.7401812688821753E-2</v>
      </c>
      <c r="J176" s="180">
        <f>(AB176+AC176)/Z176</f>
        <v>3.0211480362537766E-2</v>
      </c>
      <c r="K176" s="180">
        <f>Y176/P176</f>
        <v>0.14428571428571429</v>
      </c>
      <c r="L176" s="180">
        <f>(X176+AA176)/P176</f>
        <v>7.857142857142857E-2</v>
      </c>
      <c r="M176" s="186">
        <f>(D176*0.7635+E176*0.7562+F176*0.75+G176*0.7248+H176*0.7021+I176*0.6285+1-J176*0.5884+1-K176*0.5276+L176*0.3663)/6.931</f>
        <v>0.56630672434037399</v>
      </c>
      <c r="N176" s="187">
        <f>M176/0.5017*100</f>
        <v>112.87756116013034</v>
      </c>
      <c r="O176" s="283">
        <f>(N176-100)/100*P176*0.3389</f>
        <v>30.549438340177208</v>
      </c>
      <c r="P176" s="197">
        <v>700</v>
      </c>
      <c r="Q176" s="188">
        <f>P176-X176-AA176-AB176-AC176</f>
        <v>635</v>
      </c>
      <c r="R176" s="188" t="s">
        <v>19</v>
      </c>
      <c r="S176" s="197">
        <v>200</v>
      </c>
      <c r="T176" s="197">
        <v>36</v>
      </c>
      <c r="U176" s="197">
        <v>19</v>
      </c>
      <c r="V176" s="197">
        <v>19</v>
      </c>
      <c r="W176" s="197">
        <v>84</v>
      </c>
      <c r="X176" s="197">
        <v>52</v>
      </c>
      <c r="Y176" s="197">
        <v>101</v>
      </c>
      <c r="Z176" s="188">
        <f>S176+T176+U176*2+V176*3</f>
        <v>331</v>
      </c>
      <c r="AA176" s="197">
        <v>3</v>
      </c>
      <c r="AB176" s="197">
        <v>5</v>
      </c>
      <c r="AC176" s="197">
        <v>5</v>
      </c>
      <c r="AD176" s="9"/>
      <c r="AE176" s="37"/>
      <c r="AF176" s="37"/>
      <c r="AG176" s="37"/>
      <c r="AH176" s="37"/>
      <c r="AI176" s="37"/>
      <c r="AJ176" s="38"/>
      <c r="AK176" s="37"/>
      <c r="AL176" s="38"/>
    </row>
    <row r="177" spans="1:38" x14ac:dyDescent="0.2">
      <c r="A177" s="9"/>
      <c r="B177" s="196">
        <v>1998</v>
      </c>
      <c r="C177" s="207" t="s">
        <v>360</v>
      </c>
      <c r="D177" s="180">
        <f>(S177-V177)/(Q177-V177-Y177+AC177)</f>
        <v>0.32116788321167883</v>
      </c>
      <c r="E177" s="180">
        <f>Z177/P177</f>
        <v>0.57617728531855961</v>
      </c>
      <c r="F177" s="180">
        <f>(T177+U177+V177)/S177</f>
        <v>0.43434343434343436</v>
      </c>
      <c r="G177" s="180">
        <f>(Z177+W177)/P177</f>
        <v>0.79501385041551242</v>
      </c>
      <c r="H177" s="180">
        <f>(Z177/Q177)+((S177+X177+AA177)/(Q177+X177+AA177+AC177))</f>
        <v>1.0236986425300381</v>
      </c>
      <c r="I177" s="180">
        <f>V177/Z177</f>
        <v>0.15865384615384615</v>
      </c>
      <c r="J177" s="180">
        <f>(AB177+AC177)/Z177</f>
        <v>1.201923076923077E-2</v>
      </c>
      <c r="K177" s="180">
        <f>Y177/P177</f>
        <v>0.23684210526315788</v>
      </c>
      <c r="L177" s="180">
        <f>(X177+AA177)/P177</f>
        <v>0.10249307479224377</v>
      </c>
      <c r="M177" s="186">
        <f>(D177*0.7635+E177*0.7562+F177*0.75+G177*0.7248+H177*0.7021+I177*0.6285+1-J177*0.5884+1-K177*0.5276+L177*0.3663)/6.931</f>
        <v>0.62139179323787674</v>
      </c>
      <c r="N177" s="187">
        <f>M177/0.528*100</f>
        <v>117.68783962838573</v>
      </c>
      <c r="O177" s="283">
        <f>(N177-100)/100*P177*0.3389</f>
        <v>43.279631897432651</v>
      </c>
      <c r="P177" s="197">
        <v>722</v>
      </c>
      <c r="Q177" s="188">
        <f>P177-X177-AA177-AB177-AC177</f>
        <v>643</v>
      </c>
      <c r="R177" s="188" t="s">
        <v>19</v>
      </c>
      <c r="S177" s="197">
        <v>198</v>
      </c>
      <c r="T177" s="197">
        <v>20</v>
      </c>
      <c r="U177" s="197">
        <v>0</v>
      </c>
      <c r="V177" s="197">
        <v>66</v>
      </c>
      <c r="W177" s="197">
        <v>158</v>
      </c>
      <c r="X177" s="197">
        <v>73</v>
      </c>
      <c r="Y177" s="197">
        <v>171</v>
      </c>
      <c r="Z177" s="188">
        <f>S177+T177+U177*2+V177*3</f>
        <v>416</v>
      </c>
      <c r="AA177" s="197">
        <v>1</v>
      </c>
      <c r="AB177" s="197">
        <v>0</v>
      </c>
      <c r="AC177" s="197">
        <v>5</v>
      </c>
      <c r="AD177" s="9"/>
      <c r="AE177" s="37"/>
      <c r="AF177" s="37"/>
      <c r="AG177" s="37"/>
      <c r="AH177" s="37"/>
      <c r="AI177" s="37"/>
      <c r="AJ177" s="38"/>
      <c r="AK177" s="37"/>
      <c r="AL177" s="38"/>
    </row>
    <row r="178" spans="1:38" x14ac:dyDescent="0.2">
      <c r="A178" s="9"/>
      <c r="B178" s="210">
        <v>1963</v>
      </c>
      <c r="C178" s="211" t="s">
        <v>170</v>
      </c>
      <c r="D178" s="181">
        <f>(S178-V178)/(Q178-V178-Y178+AC178)</f>
        <v>0.2413793103448276</v>
      </c>
      <c r="E178" s="181">
        <f>Z178/P178</f>
        <v>0.25454545454545452</v>
      </c>
      <c r="F178" s="181">
        <f>(T178+U178+V178)/S178</f>
        <v>0.24299065420560748</v>
      </c>
      <c r="G178" s="181">
        <f>(Z178+R178)/P178</f>
        <v>0.31074380165289256</v>
      </c>
      <c r="H178" s="181">
        <f>(Z178/Q178)+((S178+X178+AA178)/(Q178+X178+AA178+AC178))</f>
        <v>0.50110665798122322</v>
      </c>
      <c r="I178" s="181">
        <f>V178/Z178</f>
        <v>5.844155844155844E-2</v>
      </c>
      <c r="J178" s="181">
        <f>(AB178+AC178)/Z178</f>
        <v>4.5454545454545456E-2</v>
      </c>
      <c r="K178" s="181">
        <f>Y178/P178</f>
        <v>0.2528925619834711</v>
      </c>
      <c r="L178" s="181">
        <f>(X178+AA178)/P178</f>
        <v>5.0413223140495865E-2</v>
      </c>
      <c r="M178" s="190">
        <f>(1-D178*0.7635+1-E178*0.7562+1-F178*0.75+1-G178*0.7248+1-H178*0.7021+1-I178*0.6285+J178*0.5884+K178*0.5276+1-L178*0.3663)/11.068</f>
        <v>0.5392932081943137</v>
      </c>
      <c r="N178" s="191">
        <f>M178/0.504*100</f>
        <v>107.00262067347495</v>
      </c>
      <c r="O178" s="192">
        <f>(N178-100)/100*P178*0.6611</f>
        <v>56.016133579534909</v>
      </c>
      <c r="P178" s="197">
        <v>1210</v>
      </c>
      <c r="Q178" s="188">
        <f>P178-X178-AA178-AB178-AC178</f>
        <v>1135</v>
      </c>
      <c r="R178" s="197">
        <v>68</v>
      </c>
      <c r="S178" s="197">
        <v>214</v>
      </c>
      <c r="T178" s="197">
        <v>28</v>
      </c>
      <c r="U178" s="197">
        <v>6</v>
      </c>
      <c r="V178" s="197">
        <v>18</v>
      </c>
      <c r="W178" s="188" t="s">
        <v>19</v>
      </c>
      <c r="X178" s="197">
        <v>58</v>
      </c>
      <c r="Y178" s="197">
        <v>306</v>
      </c>
      <c r="Z178" s="188">
        <f>S178+T178+U178*2+V178*3</f>
        <v>308</v>
      </c>
      <c r="AA178" s="197">
        <v>3</v>
      </c>
      <c r="AB178" s="197">
        <v>13</v>
      </c>
      <c r="AC178" s="197">
        <v>1</v>
      </c>
      <c r="AD178" s="9"/>
      <c r="AE178" s="37"/>
      <c r="AF178" s="37"/>
      <c r="AG178" s="37"/>
      <c r="AH178" s="37"/>
      <c r="AI178" s="37"/>
      <c r="AJ178" s="38"/>
      <c r="AK178" s="37"/>
      <c r="AL178" s="38"/>
    </row>
    <row r="179" spans="1:38" x14ac:dyDescent="0.2">
      <c r="A179" s="9"/>
      <c r="B179" s="210">
        <v>1943</v>
      </c>
      <c r="C179" s="211" t="s">
        <v>402</v>
      </c>
      <c r="D179" s="181">
        <f>(S179-V179)/(Q179-V179-Y179+AC179)</f>
        <v>0.24646983311938384</v>
      </c>
      <c r="E179" s="181">
        <f>Z179/P179</f>
        <v>0.24392712550607287</v>
      </c>
      <c r="F179" s="227">
        <f>(T179+U179+V179)/S179</f>
        <v>0.14720812182741116</v>
      </c>
      <c r="G179" s="181">
        <f>(Z179+R179)/P179</f>
        <v>0.30668016194331982</v>
      </c>
      <c r="H179" s="181">
        <f>(Z179/Q179)+((S179+X179+AA179)/(Q179+X179+AA179+AC179))</f>
        <v>0.52610565663844355</v>
      </c>
      <c r="I179" s="181">
        <f>V179/Z179</f>
        <v>2.0746887966804978E-2</v>
      </c>
      <c r="J179" s="181">
        <f>(AB179+AC179)/Z179</f>
        <v>8.2987551867219914E-2</v>
      </c>
      <c r="K179" s="181">
        <f>Y179/P179</f>
        <v>0.13562753036437247</v>
      </c>
      <c r="L179" s="181">
        <f>(X179+AA179)/P179</f>
        <v>5.8704453441295545E-2</v>
      </c>
      <c r="M179" s="190">
        <f>(1-D179*0.7635+1-E179*0.7562+1-F179*0.75+1-G179*0.7248+1-H179*0.7021+1-I179*0.6285+J179*0.5884+K179*0.5276+1-L179*0.3663)/11.068</f>
        <v>0.54310986953279383</v>
      </c>
      <c r="N179" s="191">
        <f>M179/0.511*100</f>
        <v>106.28373180680897</v>
      </c>
      <c r="O179" s="192">
        <f>(N179-100)/100*P179*0.6611</f>
        <v>41.043249963116352</v>
      </c>
      <c r="P179" s="197">
        <v>988</v>
      </c>
      <c r="Q179" s="189">
        <f>P179-X179-AA179-AB179-AC179</f>
        <v>910</v>
      </c>
      <c r="R179" s="197">
        <v>62</v>
      </c>
      <c r="S179" s="197">
        <v>197</v>
      </c>
      <c r="T179" s="197">
        <v>19</v>
      </c>
      <c r="U179" s="197">
        <v>5</v>
      </c>
      <c r="V179" s="197">
        <v>5</v>
      </c>
      <c r="W179" s="188" t="s">
        <v>19</v>
      </c>
      <c r="X179" s="197">
        <v>54</v>
      </c>
      <c r="Y179" s="197">
        <v>134</v>
      </c>
      <c r="Z179" s="188">
        <f>S179+T179+U179*2+V179*3</f>
        <v>241</v>
      </c>
      <c r="AA179" s="197">
        <v>4</v>
      </c>
      <c r="AB179" s="197">
        <v>12</v>
      </c>
      <c r="AC179" s="199">
        <v>8</v>
      </c>
      <c r="AD179" s="9"/>
      <c r="AE179" s="37"/>
      <c r="AF179" s="37"/>
      <c r="AG179" s="37"/>
      <c r="AH179" s="37"/>
      <c r="AI179" s="37"/>
      <c r="AJ179" s="38"/>
      <c r="AK179" s="37"/>
      <c r="AL179" s="38"/>
    </row>
    <row r="180" spans="1:38" x14ac:dyDescent="0.2">
      <c r="A180" s="9"/>
      <c r="B180" s="196">
        <v>1948</v>
      </c>
      <c r="C180" s="207" t="s">
        <v>187</v>
      </c>
      <c r="D180" s="180">
        <f>(S180-V180)/(Q180-V180-Y180+AC180)</f>
        <v>0.35239852398523985</v>
      </c>
      <c r="E180" s="180">
        <f>Z180/P180</f>
        <v>0.61461318051575931</v>
      </c>
      <c r="F180" s="180">
        <f>(T180+U180+V180)/S180</f>
        <v>0.44782608695652176</v>
      </c>
      <c r="G180" s="180">
        <f>(Z180+W180)/P180</f>
        <v>0.80229226361031514</v>
      </c>
      <c r="H180" s="180">
        <f>(Z180/Q180)+((S180+X180+AA180)/(Q180+X180+AA180+AC180))</f>
        <v>1.1520662091581797</v>
      </c>
      <c r="I180" s="180">
        <f>V180/Z180</f>
        <v>9.0909090909090912E-2</v>
      </c>
      <c r="J180" s="180">
        <f>(AB180+AC180)/Z180</f>
        <v>1.6317016317016316E-2</v>
      </c>
      <c r="K180" s="180">
        <f>Y180/P180</f>
        <v>4.8710601719197708E-2</v>
      </c>
      <c r="L180" s="180">
        <f>(X180+AA180)/P180</f>
        <v>0.1174785100286533</v>
      </c>
      <c r="M180" s="186">
        <f>(D180*0.7635+E180*0.7562+F180*0.75+G180*0.7248+H180*0.7021+I180*0.6285+1-J180*0.5884+1-K180*0.5276+L180*0.3663)/6.931</f>
        <v>0.65285406716097705</v>
      </c>
      <c r="N180" s="187">
        <f>M180/0.5008*100</f>
        <v>130.36223385802256</v>
      </c>
      <c r="O180" s="283">
        <f>(N180-100)/100*P180*0.3389</f>
        <v>71.822532160297243</v>
      </c>
      <c r="P180" s="197">
        <v>698</v>
      </c>
      <c r="Q180" s="189">
        <f>P180-X180-AA180-AB180-AC180</f>
        <v>609</v>
      </c>
      <c r="R180" s="188" t="s">
        <v>19</v>
      </c>
      <c r="S180" s="197">
        <v>230</v>
      </c>
      <c r="T180" s="197">
        <v>46</v>
      </c>
      <c r="U180" s="197">
        <v>18</v>
      </c>
      <c r="V180" s="197">
        <v>39</v>
      </c>
      <c r="W180" s="197">
        <v>131</v>
      </c>
      <c r="X180" s="197">
        <v>79</v>
      </c>
      <c r="Y180" s="197">
        <v>34</v>
      </c>
      <c r="Z180" s="188">
        <f>S180+T180+U180*2+V180*3</f>
        <v>429</v>
      </c>
      <c r="AA180" s="197">
        <v>3</v>
      </c>
      <c r="AB180" s="197">
        <v>1</v>
      </c>
      <c r="AC180" s="199">
        <v>6</v>
      </c>
      <c r="AD180" s="9"/>
      <c r="AE180" s="37"/>
      <c r="AF180" s="37"/>
      <c r="AG180" s="37"/>
      <c r="AH180" s="37"/>
      <c r="AI180" s="37"/>
      <c r="AJ180" s="38"/>
      <c r="AK180" s="37"/>
      <c r="AL180" s="38"/>
    </row>
    <row r="181" spans="1:38" x14ac:dyDescent="0.2">
      <c r="A181" s="9"/>
      <c r="B181" s="196">
        <v>1946</v>
      </c>
      <c r="C181" s="207" t="s">
        <v>187</v>
      </c>
      <c r="D181" s="180">
        <f>(S181-V181)/(Q181-V181-Y181+AC181)</f>
        <v>0.36741767764298094</v>
      </c>
      <c r="E181" s="180">
        <f>Z181/P181</f>
        <v>0.5213675213675214</v>
      </c>
      <c r="F181" s="180">
        <f>(T181+U181+V181)/S181</f>
        <v>0.37719298245614036</v>
      </c>
      <c r="G181" s="180">
        <f>(Z181+W181)/P181</f>
        <v>0.66809116809116809</v>
      </c>
      <c r="H181" s="180">
        <f>(Z181/Q181)+((S181+X181+AA181)/(Q181+X181+AA181+AC181))</f>
        <v>1.0255619663051005</v>
      </c>
      <c r="I181" s="180">
        <f>V181/Z181</f>
        <v>4.3715846994535519E-2</v>
      </c>
      <c r="J181" s="180">
        <f>(AB181+AC181)/Z181</f>
        <v>1.912568306010929E-2</v>
      </c>
      <c r="K181" s="180">
        <f>Y181/P181</f>
        <v>4.4159544159544158E-2</v>
      </c>
      <c r="L181" s="180">
        <f>(X181+AA181)/P181</f>
        <v>0.10826210826210826</v>
      </c>
      <c r="M181" s="186">
        <f>(D181*0.7635+E181*0.7562+F181*0.75+G181*0.7248+H181*0.7021+I181*0.6285+1-J181*0.5884+1-K181*0.5276+L181*0.3663)/6.931</f>
        <v>0.60518474696829638</v>
      </c>
      <c r="N181" s="187">
        <f>M181/0.4883*100</f>
        <v>123.93707699535048</v>
      </c>
      <c r="O181" s="283">
        <f>(N181-100)/100*P181*0.3389</f>
        <v>56.948173263944433</v>
      </c>
      <c r="P181" s="197">
        <v>702</v>
      </c>
      <c r="Q181" s="189">
        <f>P181-X181-AA181-AB181-AC181</f>
        <v>619</v>
      </c>
      <c r="R181" s="188" t="s">
        <v>19</v>
      </c>
      <c r="S181" s="197">
        <v>228</v>
      </c>
      <c r="T181" s="197">
        <v>50</v>
      </c>
      <c r="U181" s="197">
        <v>20</v>
      </c>
      <c r="V181" s="197">
        <v>16</v>
      </c>
      <c r="W181" s="197">
        <v>103</v>
      </c>
      <c r="X181" s="197">
        <v>73</v>
      </c>
      <c r="Y181" s="197">
        <v>31</v>
      </c>
      <c r="Z181" s="188">
        <f>S181+T181+U181*2+V181*3</f>
        <v>366</v>
      </c>
      <c r="AA181" s="197">
        <v>3</v>
      </c>
      <c r="AB181" s="197">
        <v>2</v>
      </c>
      <c r="AC181" s="199">
        <v>5</v>
      </c>
      <c r="AD181" s="9"/>
      <c r="AE181" s="37"/>
      <c r="AF181" s="37"/>
      <c r="AG181" s="37"/>
      <c r="AH181" s="37"/>
      <c r="AI181" s="37"/>
      <c r="AJ181" s="38"/>
      <c r="AK181" s="37"/>
      <c r="AL181" s="38"/>
    </row>
    <row r="182" spans="1:38" x14ac:dyDescent="0.2">
      <c r="A182" s="9"/>
      <c r="B182" s="196">
        <v>1943</v>
      </c>
      <c r="C182" s="207" t="s">
        <v>187</v>
      </c>
      <c r="D182" s="180">
        <f>(S182-V182)/(Q182-V182-Y182+AC182)</f>
        <v>0.35324232081911261</v>
      </c>
      <c r="E182" s="180">
        <f>Z182/P182</f>
        <v>0.4950071326676177</v>
      </c>
      <c r="F182" s="180">
        <f>(T182+U182+V182)/S182</f>
        <v>0.36818181818181817</v>
      </c>
      <c r="G182" s="180">
        <f>(Z182+W182)/P182</f>
        <v>0.61055634807417969</v>
      </c>
      <c r="H182" s="180">
        <f>(Z182/Q182)+((S182+X182+AA182)/(Q182+X182+AA182+AC182))</f>
        <v>0.99246379690322817</v>
      </c>
      <c r="I182" s="180">
        <f>V182/Z182</f>
        <v>3.7463976945244955E-2</v>
      </c>
      <c r="J182" s="180">
        <f>(AB182+AC182)/Z182</f>
        <v>4.3227665706051875E-2</v>
      </c>
      <c r="K182" s="180">
        <f>Y182/P182</f>
        <v>2.5677603423680456E-2</v>
      </c>
      <c r="L182" s="180">
        <f>(X182+AA182)/P182</f>
        <v>0.10556348074179743</v>
      </c>
      <c r="M182" s="186">
        <f>(D182*0.7635+E182*0.7562+F182*0.75+G182*0.7248+H182*0.7021+I182*0.6285+1-J182*0.5884+1-K182*0.5276+L182*0.3663)/6.931</f>
        <v>0.58905391612075642</v>
      </c>
      <c r="N182" s="187">
        <f>M182/0.4825*100</f>
        <v>122.08371318564902</v>
      </c>
      <c r="O182" s="283">
        <f>(N182-100)/100*P182*0.3389</f>
        <v>52.46403449430133</v>
      </c>
      <c r="P182" s="197">
        <v>701</v>
      </c>
      <c r="Q182" s="189">
        <f>P182-X182-AA182-AB182-AC182</f>
        <v>612</v>
      </c>
      <c r="R182" s="188" t="s">
        <v>19</v>
      </c>
      <c r="S182" s="197">
        <v>220</v>
      </c>
      <c r="T182" s="197">
        <v>48</v>
      </c>
      <c r="U182" s="197">
        <v>20</v>
      </c>
      <c r="V182" s="197">
        <v>13</v>
      </c>
      <c r="W182" s="197">
        <v>81</v>
      </c>
      <c r="X182" s="197">
        <v>72</v>
      </c>
      <c r="Y182" s="197">
        <v>18</v>
      </c>
      <c r="Z182" s="188">
        <f>S182+T182+U182*2+V182*3</f>
        <v>347</v>
      </c>
      <c r="AA182" s="197">
        <v>2</v>
      </c>
      <c r="AB182" s="197">
        <v>10</v>
      </c>
      <c r="AC182" s="199">
        <v>5</v>
      </c>
      <c r="AD182" s="9"/>
      <c r="AE182" s="37"/>
      <c r="AF182" s="37"/>
      <c r="AG182" s="37"/>
      <c r="AH182" s="37"/>
      <c r="AI182" s="37"/>
      <c r="AJ182" s="38"/>
      <c r="AK182" s="37"/>
      <c r="AL182" s="38"/>
    </row>
    <row r="183" spans="1:38" x14ac:dyDescent="0.2">
      <c r="A183" s="9"/>
      <c r="B183" s="196">
        <v>1974</v>
      </c>
      <c r="C183" s="207" t="s">
        <v>380</v>
      </c>
      <c r="D183" s="180">
        <f>(S183-V183)/(Q183-V183-Y183+AC183)</f>
        <v>0.31793960923623443</v>
      </c>
      <c r="E183" s="180">
        <f>Z183/P183</f>
        <v>0.43941605839416059</v>
      </c>
      <c r="F183" s="180">
        <f>(T183+U183+V183)/S183</f>
        <v>0.28000000000000003</v>
      </c>
      <c r="G183" s="180">
        <f>(Z183+W183)/P183</f>
        <v>0.60145985401459856</v>
      </c>
      <c r="H183" s="180">
        <f>(Z183/Q183)+((S183+X183+AA183)/(Q183+X183+AA183+AC183))</f>
        <v>0.81095261518281681</v>
      </c>
      <c r="I183" s="180">
        <f>V183/Z183</f>
        <v>6.9767441860465115E-2</v>
      </c>
      <c r="J183" s="180">
        <f>(AB183+AC183)/Z183</f>
        <v>2.9900332225913623E-2</v>
      </c>
      <c r="K183" s="180">
        <f>Y183/P183</f>
        <v>9.6350364963503646E-2</v>
      </c>
      <c r="L183" s="180">
        <f>(X183+AA183)/P183</f>
        <v>4.9635036496350364E-2</v>
      </c>
      <c r="M183" s="186">
        <f>(D183*0.7635+E183*0.7562+F183*0.75+G183*0.7248+H183*0.7021+I183*0.6285+1-J183*0.5884+1-K183*0.5276+L183*0.3663)/6.931</f>
        <v>0.54594482633972152</v>
      </c>
      <c r="N183" s="187">
        <f>M183/0.4929*100</f>
        <v>110.76178258058866</v>
      </c>
      <c r="O183" s="283">
        <f>(N183-100)/100*P183*0.3389</f>
        <v>24.983101598446247</v>
      </c>
      <c r="P183" s="197">
        <v>685</v>
      </c>
      <c r="Q183" s="188">
        <f>P183-X183-AA183-AB183-AC183</f>
        <v>642</v>
      </c>
      <c r="R183" s="188" t="s">
        <v>19</v>
      </c>
      <c r="S183" s="197">
        <v>200</v>
      </c>
      <c r="T183" s="197">
        <v>32</v>
      </c>
      <c r="U183" s="197">
        <v>3</v>
      </c>
      <c r="V183" s="197">
        <v>21</v>
      </c>
      <c r="W183" s="197">
        <v>111</v>
      </c>
      <c r="X183" s="197">
        <v>31</v>
      </c>
      <c r="Y183" s="197">
        <v>66</v>
      </c>
      <c r="Z183" s="188">
        <f>S183+T183+U183*2+V183*3</f>
        <v>301</v>
      </c>
      <c r="AA183" s="197">
        <v>3</v>
      </c>
      <c r="AB183" s="197">
        <v>1</v>
      </c>
      <c r="AC183" s="197">
        <v>8</v>
      </c>
      <c r="AD183" s="9"/>
      <c r="AE183" s="37"/>
      <c r="AF183" s="37"/>
      <c r="AG183" s="37"/>
      <c r="AH183" s="37"/>
      <c r="AI183" s="37"/>
      <c r="AJ183" s="38"/>
      <c r="AK183" s="37"/>
      <c r="AL183" s="38"/>
    </row>
    <row r="184" spans="1:38" x14ac:dyDescent="0.2">
      <c r="A184" s="9"/>
      <c r="B184" s="196">
        <v>1946</v>
      </c>
      <c r="C184" s="207" t="s">
        <v>196</v>
      </c>
      <c r="D184" s="180">
        <f>(S184-V184)/(Q184-V184-Y184+AC184)</f>
        <v>0.31944444444444442</v>
      </c>
      <c r="E184" s="180">
        <f>Z184/P184</f>
        <v>0.51041666666666663</v>
      </c>
      <c r="F184" s="180">
        <f>(T184+U184+V184)/S184</f>
        <v>0.47159090909090912</v>
      </c>
      <c r="G184" s="180">
        <f>(Z184+W184)/P184</f>
        <v>0.69345238095238093</v>
      </c>
      <c r="H184" s="180">
        <f>(Z184/Q184)+((S184+X184+AA184)/(Q184+X184+AA184+AC184))</f>
        <v>1.1695728291316527</v>
      </c>
      <c r="I184" s="180">
        <f>V184/Z184</f>
        <v>0.11078717201166181</v>
      </c>
      <c r="J184" s="180">
        <f>(AB184+AC184)/Z184</f>
        <v>1.1661807580174927E-2</v>
      </c>
      <c r="K184" s="180">
        <f>Y184/P184</f>
        <v>6.5476190476190479E-2</v>
      </c>
      <c r="L184" s="180">
        <f>(X184+AA184)/P184</f>
        <v>0.23511904761904762</v>
      </c>
      <c r="M184" s="186">
        <f>(D184*0.7635+E184*0.7562+F184*0.75+G184*0.7248+H184*0.7021+I184*0.6285+1-J184*0.5884+1-K184*0.5276+L184*0.3663)/6.931</f>
        <v>0.63795762034471803</v>
      </c>
      <c r="N184" s="187">
        <f>M184/0.4883*100</f>
        <v>130.64870373637478</v>
      </c>
      <c r="O184" s="283">
        <f>(N184-100)/100*P184*0.3389</f>
        <v>69.799603078849827</v>
      </c>
      <c r="P184" s="197">
        <v>672</v>
      </c>
      <c r="Q184" s="189">
        <f>P184-X184-AA184-AB184-AC184</f>
        <v>510</v>
      </c>
      <c r="R184" s="188" t="s">
        <v>19</v>
      </c>
      <c r="S184" s="197">
        <v>176</v>
      </c>
      <c r="T184" s="197">
        <v>37</v>
      </c>
      <c r="U184" s="197">
        <v>8</v>
      </c>
      <c r="V184" s="197">
        <v>38</v>
      </c>
      <c r="W184" s="197">
        <v>123</v>
      </c>
      <c r="X184" s="197">
        <v>156</v>
      </c>
      <c r="Y184" s="197">
        <v>44</v>
      </c>
      <c r="Z184" s="188">
        <f>S184+T184+U184*2+V184*3</f>
        <v>343</v>
      </c>
      <c r="AA184" s="197">
        <v>2</v>
      </c>
      <c r="AB184" s="197">
        <v>0</v>
      </c>
      <c r="AC184" s="199">
        <v>4</v>
      </c>
      <c r="AD184" s="9"/>
      <c r="AE184" s="37"/>
      <c r="AF184" s="37"/>
      <c r="AG184" s="37"/>
      <c r="AH184" s="37"/>
      <c r="AI184" s="37"/>
      <c r="AJ184" s="38"/>
      <c r="AK184" s="37"/>
      <c r="AL184" s="38"/>
    </row>
    <row r="185" spans="1:38" x14ac:dyDescent="0.2">
      <c r="A185" s="9"/>
      <c r="B185" s="196">
        <v>1949</v>
      </c>
      <c r="C185" s="207" t="s">
        <v>196</v>
      </c>
      <c r="D185" s="180">
        <f>(S185-V185)/(Q185-V185-Y185+AC185)</f>
        <v>0.31789473684210529</v>
      </c>
      <c r="E185" s="180">
        <f>Z185/P185</f>
        <v>0.50410958904109593</v>
      </c>
      <c r="F185" s="180">
        <f>(T185+U185+V185)/S185</f>
        <v>0.43814432989690721</v>
      </c>
      <c r="G185" s="180">
        <f>(Z185+W185)/P185</f>
        <v>0.72191780821917806</v>
      </c>
      <c r="H185" s="180">
        <f>(Z185/Q185)+((S185+X185+AA185)/(Q185+X185+AA185+AC185))</f>
        <v>1.145215229366743</v>
      </c>
      <c r="I185" s="180">
        <f>V185/Z185</f>
        <v>0.11684782608695653</v>
      </c>
      <c r="J185" s="180">
        <f>(AB185+AC185)/Z185</f>
        <v>1.0869565217391304E-2</v>
      </c>
      <c r="K185" s="180">
        <f>Y185/P185</f>
        <v>6.575342465753424E-2</v>
      </c>
      <c r="L185" s="180">
        <f>(X185+AA185)/P185</f>
        <v>0.22465753424657534</v>
      </c>
      <c r="M185" s="186">
        <f>(D185*0.7635+E185*0.7562+F185*0.75+G185*0.7248+H185*0.7021+I185*0.6285+1-J185*0.5884+1-K185*0.5276+L185*0.3663)/6.931</f>
        <v>0.6340317334637281</v>
      </c>
      <c r="N185" s="187">
        <f>M185/0.5029*100</f>
        <v>126.07511104866336</v>
      </c>
      <c r="O185" s="283">
        <f>(N185-100)/100*P185*0.3389</f>
        <v>64.509042481061684</v>
      </c>
      <c r="P185" s="197">
        <v>730</v>
      </c>
      <c r="Q185" s="189">
        <f>P185-X185-AA185-AB185-AC185</f>
        <v>562</v>
      </c>
      <c r="R185" s="188" t="s">
        <v>19</v>
      </c>
      <c r="S185" s="197">
        <v>194</v>
      </c>
      <c r="T185" s="197">
        <v>39</v>
      </c>
      <c r="U185" s="197">
        <v>3</v>
      </c>
      <c r="V185" s="197">
        <v>43</v>
      </c>
      <c r="W185" s="197">
        <v>159</v>
      </c>
      <c r="X185" s="197">
        <v>162</v>
      </c>
      <c r="Y185" s="197">
        <v>48</v>
      </c>
      <c r="Z185" s="188">
        <f>S185+T185+U185*2+V185*3</f>
        <v>368</v>
      </c>
      <c r="AA185" s="197">
        <v>2</v>
      </c>
      <c r="AB185" s="197">
        <v>0</v>
      </c>
      <c r="AC185" s="199">
        <v>4</v>
      </c>
      <c r="AD185" s="9"/>
      <c r="AE185" s="37"/>
      <c r="AF185" s="37"/>
      <c r="AG185" s="37"/>
      <c r="AH185" s="37"/>
      <c r="AI185" s="37"/>
      <c r="AJ185" s="38"/>
      <c r="AK185" s="37"/>
      <c r="AL185" s="38"/>
    </row>
    <row r="186" spans="1:38" x14ac:dyDescent="0.2">
      <c r="A186" s="9"/>
      <c r="B186" s="196">
        <v>1991</v>
      </c>
      <c r="C186" s="207" t="s">
        <v>363</v>
      </c>
      <c r="D186" s="180">
        <f>(S186-V186)/(Q186-V186-Y186+AC186)</f>
        <v>0.32934131736526945</v>
      </c>
      <c r="E186" s="180">
        <f>Z186/P186</f>
        <v>0.47049689440993792</v>
      </c>
      <c r="F186" s="180">
        <f>(T186+U186+V186)/S186</f>
        <v>0.34224598930481281</v>
      </c>
      <c r="G186" s="180">
        <f>(Z186+W186)/P186</f>
        <v>0.60403726708074534</v>
      </c>
      <c r="H186" s="180">
        <f>(Z186/Q186)+((S186+X186+AA186)/(Q186+X186+AA186+AC186))</f>
        <v>0.87970220905374497</v>
      </c>
      <c r="I186" s="180">
        <f>V186/Z186</f>
        <v>7.2607260726072612E-2</v>
      </c>
      <c r="J186" s="180">
        <f>(AB186+AC186)/Z186</f>
        <v>4.6204620462046202E-2</v>
      </c>
      <c r="K186" s="180">
        <f>Y186/P186</f>
        <v>0.10869565217391304</v>
      </c>
      <c r="L186" s="180">
        <f>(X186+AA186)/P186</f>
        <v>6.8322981366459631E-2</v>
      </c>
      <c r="M186" s="186">
        <f>(D186*0.7635+E186*0.7562+F186*0.75+G186*0.7248+H186*0.7021+I186*0.6285+1-J186*0.5884+1-K186*0.5276+L186*0.3663)/6.931</f>
        <v>0.56348250153954582</v>
      </c>
      <c r="N186" s="187">
        <f>M186/0.5022*100</f>
        <v>112.20280795291633</v>
      </c>
      <c r="O186" s="283">
        <f>(N186-100)/100*P186*0.3389</f>
        <v>26.632823602167139</v>
      </c>
      <c r="P186" s="197">
        <v>644</v>
      </c>
      <c r="Q186" s="188">
        <f>P186-X186-AA186-AB186-AC186</f>
        <v>586</v>
      </c>
      <c r="R186" s="188" t="s">
        <v>19</v>
      </c>
      <c r="S186" s="197">
        <v>187</v>
      </c>
      <c r="T186" s="197">
        <v>34</v>
      </c>
      <c r="U186" s="197">
        <v>8</v>
      </c>
      <c r="V186" s="197">
        <v>22</v>
      </c>
      <c r="W186" s="197">
        <v>86</v>
      </c>
      <c r="X186" s="197">
        <v>43</v>
      </c>
      <c r="Y186" s="197">
        <v>70</v>
      </c>
      <c r="Z186" s="188">
        <f>S186+T186+U186*2+V186*3</f>
        <v>303</v>
      </c>
      <c r="AA186" s="197">
        <v>1</v>
      </c>
      <c r="AB186" s="197">
        <v>7</v>
      </c>
      <c r="AC186" s="197">
        <v>7</v>
      </c>
      <c r="AD186" s="9"/>
      <c r="AE186" s="37"/>
      <c r="AF186" s="37"/>
      <c r="AG186" s="37"/>
      <c r="AH186" s="37"/>
      <c r="AI186" s="37"/>
      <c r="AJ186" s="38"/>
      <c r="AK186" s="37"/>
      <c r="AL186" s="38"/>
    </row>
    <row r="187" spans="1:38" x14ac:dyDescent="0.2">
      <c r="A187" s="9"/>
      <c r="B187" s="196">
        <v>1976</v>
      </c>
      <c r="C187" s="207" t="s">
        <v>377</v>
      </c>
      <c r="D187" s="180">
        <f>(S187-V187)/(Q187-V187-Y187+AC187)</f>
        <v>0.29597197898423816</v>
      </c>
      <c r="E187" s="180">
        <f>Z187/P187</f>
        <v>0.4</v>
      </c>
      <c r="F187" s="180">
        <f>(T187+U187+V187)/S187</f>
        <v>0.24193548387096775</v>
      </c>
      <c r="G187" s="180">
        <f>(Z187+W187)/P187</f>
        <v>0.55789473684210522</v>
      </c>
      <c r="H187" s="180">
        <f>(Z187/Q187)+((S187+X187+AA187)/(Q187+X187+AA187+AC187))</f>
        <v>0.7691675794085433</v>
      </c>
      <c r="I187" s="180">
        <f>V187/Z187</f>
        <v>6.3909774436090222E-2</v>
      </c>
      <c r="J187" s="180">
        <f>(AB187+AC187)/Z187</f>
        <v>4.1353383458646614E-2</v>
      </c>
      <c r="K187" s="180">
        <f>Y187/P187</f>
        <v>5.7142857142857141E-2</v>
      </c>
      <c r="L187" s="180">
        <f>(X187+AA187)/P187</f>
        <v>5.7142857142857141E-2</v>
      </c>
      <c r="M187" s="186">
        <f>(D187*0.7635+E187*0.7562+F187*0.75+G187*0.7248+H187*0.7021+I187*0.6285+1-J187*0.5884+1-K187*0.5276+L187*0.3663)/6.931</f>
        <v>0.52819487825313227</v>
      </c>
      <c r="N187" s="187">
        <f>M187/0.4885*100</f>
        <v>108.12587067617856</v>
      </c>
      <c r="O187" s="283">
        <f>(N187-100)/100*P187*0.3389</f>
        <v>18.313152854843487</v>
      </c>
      <c r="P187" s="197">
        <v>665</v>
      </c>
      <c r="Q187" s="188">
        <f>P187-X187-AA187-AB187-AC187</f>
        <v>616</v>
      </c>
      <c r="R187" s="188" t="s">
        <v>19</v>
      </c>
      <c r="S187" s="197">
        <v>186</v>
      </c>
      <c r="T187" s="197">
        <v>27</v>
      </c>
      <c r="U187" s="197">
        <v>1</v>
      </c>
      <c r="V187" s="197">
        <v>17</v>
      </c>
      <c r="W187" s="197">
        <v>105</v>
      </c>
      <c r="X187" s="197">
        <v>29</v>
      </c>
      <c r="Y187" s="197">
        <v>38</v>
      </c>
      <c r="Z187" s="188">
        <f>S187+T187+U187*2+V187*3</f>
        <v>266</v>
      </c>
      <c r="AA187" s="197">
        <v>9</v>
      </c>
      <c r="AB187" s="197">
        <v>1</v>
      </c>
      <c r="AC187" s="197">
        <v>10</v>
      </c>
      <c r="AD187" s="9"/>
      <c r="AE187" s="37"/>
      <c r="AF187" s="37"/>
      <c r="AG187" s="37"/>
      <c r="AH187" s="37"/>
      <c r="AI187" s="37"/>
      <c r="AJ187" s="38"/>
      <c r="AK187" s="37"/>
      <c r="AL187" s="38"/>
    </row>
    <row r="188" spans="1:38" x14ac:dyDescent="0.2">
      <c r="A188" s="9"/>
      <c r="B188" s="196">
        <v>1912</v>
      </c>
      <c r="C188" s="207" t="s">
        <v>270</v>
      </c>
      <c r="D188" s="180">
        <f>(S188-V188)/(Q188-V188-Y188+AC188)</f>
        <v>0.39700374531835209</v>
      </c>
      <c r="E188" s="180">
        <f>Z188/P188</f>
        <v>0.4874074074074074</v>
      </c>
      <c r="F188" s="180">
        <f>(T188+U188+V188)/S188</f>
        <v>0.33783783783783783</v>
      </c>
      <c r="G188" s="180">
        <f>(Z188+W188)/P188</f>
        <v>0.6207407407407407</v>
      </c>
      <c r="H188" s="180">
        <f>(Z188/Q188)+((S188+X188+AA188)/(Q188+X188+AA188+AC188))</f>
        <v>1.0372425879947422</v>
      </c>
      <c r="I188" s="180">
        <f>V188/Z188</f>
        <v>3.0395136778115502E-2</v>
      </c>
      <c r="J188" s="180">
        <f>(AB188+AC188)/Z188</f>
        <v>3.9513677811550151E-2</v>
      </c>
      <c r="K188" s="180">
        <f>Y188/P188</f>
        <v>5.3333333333333337E-2</v>
      </c>
      <c r="L188" s="180">
        <f>(X188+AA188)/P188</f>
        <v>0.13037037037037036</v>
      </c>
      <c r="M188" s="186">
        <f>(D188*0.7635+E188*0.7562+F188*0.75+G188*0.7248+H188*0.7021+I188*0.6285+1-J188*0.5884+1-K188*0.5276+L188*0.3663)/6.931</f>
        <v>0.59424305652447684</v>
      </c>
      <c r="N188" s="187">
        <f>M188/0.4825*100</f>
        <v>123.15918269937345</v>
      </c>
      <c r="O188" s="283">
        <f>(N188-100)/100*P188*0.3389</f>
        <v>52.978367363519205</v>
      </c>
      <c r="P188" s="197">
        <v>675</v>
      </c>
      <c r="Q188" s="189">
        <f>P188-X188-AA188-AB188-AC188</f>
        <v>574</v>
      </c>
      <c r="R188" s="188" t="s">
        <v>19</v>
      </c>
      <c r="S188" s="197">
        <v>222</v>
      </c>
      <c r="T188" s="197">
        <v>53</v>
      </c>
      <c r="U188" s="197">
        <v>12</v>
      </c>
      <c r="V188" s="197">
        <v>10</v>
      </c>
      <c r="W188" s="197">
        <v>90</v>
      </c>
      <c r="X188" s="197">
        <v>82</v>
      </c>
      <c r="Y188" s="197">
        <v>36</v>
      </c>
      <c r="Z188" s="188">
        <f>S188+T188+U188*2+V188*3</f>
        <v>329</v>
      </c>
      <c r="AA188" s="197">
        <v>6</v>
      </c>
      <c r="AB188" s="197">
        <v>7</v>
      </c>
      <c r="AC188" s="199">
        <v>6</v>
      </c>
      <c r="AD188" s="9"/>
      <c r="AE188" s="37"/>
      <c r="AF188" s="37"/>
      <c r="AG188" s="37"/>
      <c r="AH188" s="37"/>
      <c r="AI188" s="37"/>
      <c r="AJ188" s="38"/>
      <c r="AK188" s="37"/>
      <c r="AL188" s="38"/>
    </row>
    <row r="189" spans="1:38" x14ac:dyDescent="0.2">
      <c r="A189" s="9"/>
      <c r="B189" s="196">
        <v>1911</v>
      </c>
      <c r="C189" s="207" t="s">
        <v>272</v>
      </c>
      <c r="D189" s="228">
        <f>(S189-V189)/(Q189-V189-Y189+AC189)</f>
        <v>0.44198895027624308</v>
      </c>
      <c r="E189" s="180">
        <f>Z189/P189</f>
        <v>0.55945121951219512</v>
      </c>
      <c r="F189" s="180">
        <f>(T189+U189+V189)/S189</f>
        <v>0.31854838709677419</v>
      </c>
      <c r="G189" s="180">
        <f>(Z189+W189)/P189</f>
        <v>0.75304878048780488</v>
      </c>
      <c r="H189" s="180">
        <f>(Z189/Q189)+((S189+X189+AA189)/(Q189+X189+AA189+AC189))</f>
        <v>1.0892659389337129</v>
      </c>
      <c r="I189" s="180">
        <f>V189/Z189</f>
        <v>2.1798365122615803E-2</v>
      </c>
      <c r="J189" s="180">
        <f>(AB189+AC189)/Z189</f>
        <v>4.3596730245231606E-2</v>
      </c>
      <c r="K189" s="180">
        <f>Y189/P189</f>
        <v>6.402439024390244E-2</v>
      </c>
      <c r="L189" s="180">
        <f>(X189+AA189)/P189</f>
        <v>7.926829268292683E-2</v>
      </c>
      <c r="M189" s="186">
        <f>(D189*0.7635+E189*0.7562+F189*0.75+G189*0.7248+H189*0.7021+I189*0.6285+1-J189*0.5884+1-K189*0.5276+L189*0.3663)/6.931</f>
        <v>0.61943657503922622</v>
      </c>
      <c r="N189" s="187">
        <f>M189/0.4812*100</f>
        <v>128.72746779701291</v>
      </c>
      <c r="O189" s="283">
        <f>(N189-100)/100*P189*0.3389</f>
        <v>63.866446766834336</v>
      </c>
      <c r="P189" s="197">
        <v>656</v>
      </c>
      <c r="Q189" s="189">
        <f>P189-X189-AA189-AB189-AC189</f>
        <v>588</v>
      </c>
      <c r="R189" s="188" t="s">
        <v>19</v>
      </c>
      <c r="S189" s="197">
        <v>248</v>
      </c>
      <c r="T189" s="197">
        <v>47</v>
      </c>
      <c r="U189" s="197">
        <v>24</v>
      </c>
      <c r="V189" s="197">
        <v>8</v>
      </c>
      <c r="W189" s="197">
        <v>127</v>
      </c>
      <c r="X189" s="197">
        <v>44</v>
      </c>
      <c r="Y189" s="197">
        <v>42</v>
      </c>
      <c r="Z189" s="188">
        <f>S189+T189+U189*2+V189*3</f>
        <v>367</v>
      </c>
      <c r="AA189" s="197">
        <v>8</v>
      </c>
      <c r="AB189" s="197">
        <v>11</v>
      </c>
      <c r="AC189" s="199">
        <v>5</v>
      </c>
      <c r="AD189" s="9"/>
      <c r="AE189" s="37"/>
      <c r="AF189" s="37"/>
      <c r="AG189" s="37"/>
      <c r="AH189" s="37"/>
      <c r="AI189" s="37"/>
      <c r="AJ189" s="38"/>
      <c r="AK189" s="37"/>
      <c r="AL189" s="38"/>
    </row>
    <row r="190" spans="1:38" x14ac:dyDescent="0.2">
      <c r="A190" s="9"/>
      <c r="B190" s="210">
        <v>1971</v>
      </c>
      <c r="C190" s="211" t="s">
        <v>383</v>
      </c>
      <c r="D190" s="181">
        <f>(S190-V190)/(Q190-V190-Y190+AC190)</f>
        <v>0.24173027989821882</v>
      </c>
      <c r="E190" s="181">
        <f>Z190/P190</f>
        <v>0.24855012427506215</v>
      </c>
      <c r="F190" s="181">
        <f>(T190+U190+V190)/S190</f>
        <v>0.23923444976076555</v>
      </c>
      <c r="G190" s="181">
        <f>(Z190+R190)/P190</f>
        <v>0.30903065451532724</v>
      </c>
      <c r="H190" s="181">
        <f>(Z190/Q190)+((S190+X190+AA190)/(Q190+X190+AA190+AC190))</f>
        <v>0.52323758091833317</v>
      </c>
      <c r="I190" s="181">
        <f>V190/Z190</f>
        <v>6.3333333333333339E-2</v>
      </c>
      <c r="J190" s="181">
        <f>(AB190+AC190)/Z190</f>
        <v>0.04</v>
      </c>
      <c r="K190" s="181">
        <f>Y190/P190</f>
        <v>0.24937862468931235</v>
      </c>
      <c r="L190" s="181">
        <f>(X190+AA190)/P190</f>
        <v>7.6222038111019061E-2</v>
      </c>
      <c r="M190" s="190">
        <f>(1-D190*0.7635+1-E190*0.7562+1-F190*0.75+1-G190*0.7248+1-H190*0.7021+1-I190*0.6285+J190*0.5884+K190*0.5276+1-L190*0.3663)/11.068</f>
        <v>0.53705204154959141</v>
      </c>
      <c r="N190" s="191">
        <f>M190/0.506*100</f>
        <v>106.13676710466234</v>
      </c>
      <c r="O190" s="192">
        <f>(N190-100)/100*P190*0.6611</f>
        <v>48.968191966009734</v>
      </c>
      <c r="P190" s="197">
        <v>1207</v>
      </c>
      <c r="Q190" s="188">
        <f>P190-X190-AA190-AB190-AC190</f>
        <v>1103</v>
      </c>
      <c r="R190" s="197">
        <v>73</v>
      </c>
      <c r="S190" s="197">
        <v>209</v>
      </c>
      <c r="T190" s="197">
        <v>28</v>
      </c>
      <c r="U190" s="197">
        <v>3</v>
      </c>
      <c r="V190" s="197">
        <v>19</v>
      </c>
      <c r="W190" s="188" t="s">
        <v>19</v>
      </c>
      <c r="X190" s="197">
        <v>88</v>
      </c>
      <c r="Y190" s="197">
        <v>301</v>
      </c>
      <c r="Z190" s="188">
        <f>S190+T190+U190*2+V190*3</f>
        <v>300</v>
      </c>
      <c r="AA190" s="197">
        <v>4</v>
      </c>
      <c r="AB190" s="197">
        <v>9</v>
      </c>
      <c r="AC190" s="197">
        <v>3</v>
      </c>
      <c r="AD190" s="9"/>
      <c r="AE190" s="37"/>
      <c r="AF190" s="37"/>
      <c r="AG190" s="37"/>
      <c r="AH190" s="37"/>
      <c r="AI190" s="37"/>
      <c r="AJ190" s="38"/>
      <c r="AK190" s="37"/>
      <c r="AL190" s="38"/>
    </row>
    <row r="191" spans="1:38" x14ac:dyDescent="0.2">
      <c r="A191" s="9"/>
      <c r="B191" s="196">
        <v>2004</v>
      </c>
      <c r="C191" s="207" t="s">
        <v>30</v>
      </c>
      <c r="D191" s="180">
        <f>(S191-V191)/(Q191-V191-Y191+AC191)</f>
        <v>0.32938856015779094</v>
      </c>
      <c r="E191" s="180">
        <f>Z191/P191</f>
        <v>0.53823529411764703</v>
      </c>
      <c r="F191" s="180">
        <f>(T191+U191+V191)/S191</f>
        <v>0.38834951456310679</v>
      </c>
      <c r="G191" s="180">
        <f>(Z191+W191)/P191</f>
        <v>0.72352941176470587</v>
      </c>
      <c r="H191" s="180">
        <f>(Z191/Q191)+((S191+X191+AA191)/(Q191+X191+AA191+AC191))</f>
        <v>0.98921568627450984</v>
      </c>
      <c r="I191" s="180">
        <f>V191/Z191</f>
        <v>0.10655737704918032</v>
      </c>
      <c r="J191" s="180">
        <f>(AB191+AC191)/Z191</f>
        <v>2.185792349726776E-2</v>
      </c>
      <c r="K191" s="180">
        <f>Y191/P191</f>
        <v>0.10882352941176471</v>
      </c>
      <c r="L191" s="180">
        <f>(X191+AA191)/P191</f>
        <v>8.8235294117647065E-2</v>
      </c>
      <c r="M191" s="186">
        <f>(D191*0.7635+E191*0.7562+F191*0.75+G191*0.7248+H191*0.7021+I191*0.6285+1-J191*0.5884+1-K191*0.5276+L191*0.3663)/6.931</f>
        <v>0.60564445035380532</v>
      </c>
      <c r="N191" s="187">
        <f>M191/0.5246*100</f>
        <v>115.44880868353134</v>
      </c>
      <c r="O191" s="283">
        <f>(N191-100)/100*P191*0.3389</f>
        <v>35.60208858737164</v>
      </c>
      <c r="P191" s="197">
        <v>680</v>
      </c>
      <c r="Q191" s="188">
        <f>P191-X191-AA191-AB191-AC191</f>
        <v>612</v>
      </c>
      <c r="R191" s="188" t="s">
        <v>19</v>
      </c>
      <c r="S191" s="197">
        <v>206</v>
      </c>
      <c r="T191" s="197">
        <v>39</v>
      </c>
      <c r="U191" s="197">
        <v>2</v>
      </c>
      <c r="V191" s="197">
        <v>39</v>
      </c>
      <c r="W191" s="197">
        <v>126</v>
      </c>
      <c r="X191" s="197">
        <v>52</v>
      </c>
      <c r="Y191" s="197">
        <v>74</v>
      </c>
      <c r="Z191" s="188">
        <f>S191+T191+U191*2+V191*3</f>
        <v>366</v>
      </c>
      <c r="AA191" s="197">
        <v>8</v>
      </c>
      <c r="AB191" s="197">
        <v>0</v>
      </c>
      <c r="AC191" s="197">
        <v>8</v>
      </c>
      <c r="AD191" s="9"/>
      <c r="AE191" s="37"/>
      <c r="AF191" s="37"/>
      <c r="AG191" s="37"/>
      <c r="AH191" s="37"/>
      <c r="AI191" s="37"/>
      <c r="AJ191" s="38"/>
      <c r="AK191" s="37"/>
      <c r="AL191" s="38"/>
    </row>
    <row r="192" spans="1:38" x14ac:dyDescent="0.2">
      <c r="A192" s="9"/>
      <c r="B192" s="210">
        <v>1924</v>
      </c>
      <c r="C192" s="211" t="s">
        <v>276</v>
      </c>
      <c r="D192" s="181">
        <f>(S192-V192)/(Q192-V192-Y192+AC192)</f>
        <v>0.25661680092059841</v>
      </c>
      <c r="E192" s="181">
        <f>Z192/P192</f>
        <v>0.27957931638913236</v>
      </c>
      <c r="F192" s="181">
        <f>(T192+U192+V192)/S192</f>
        <v>0.23175965665236051</v>
      </c>
      <c r="G192" s="181">
        <f>(Z192+R192)/P192</f>
        <v>0.36459246275197194</v>
      </c>
      <c r="H192" s="181">
        <f>(Z192/Q192)+((S192+X192+AA192)/(Q192+X192+AA192+AC192))</f>
        <v>0.59320814719466952</v>
      </c>
      <c r="I192" s="181">
        <f>V192/Z192</f>
        <v>3.1347962382445138E-2</v>
      </c>
      <c r="J192" s="181">
        <f>(AB192+AC192)/Z192</f>
        <v>6.2695924764890276E-2</v>
      </c>
      <c r="K192" s="181">
        <f>Y192/P192</f>
        <v>0.13847502191060473</v>
      </c>
      <c r="L192" s="181">
        <f>(X192+AA192)/P192</f>
        <v>7.6248904469763359E-2</v>
      </c>
      <c r="M192" s="190">
        <f>(1-D192*0.7635+1-E192*0.7562+1-F192*0.75+1-G192*0.7248+1-H192*0.7021+1-I192*0.6285+J192*0.5884+K192*0.5276+1-L192*0.3663)/11.068</f>
        <v>0.52406983460728584</v>
      </c>
      <c r="N192" s="191">
        <f>M192/0.4998*100</f>
        <v>104.85590928517124</v>
      </c>
      <c r="O192" s="192">
        <f>(N192-100)/100*P192*0.6611</f>
        <v>36.628856980348701</v>
      </c>
      <c r="P192" s="197">
        <v>1141</v>
      </c>
      <c r="Q192" s="188">
        <f>P192-X192-AA192-AB192-AC192</f>
        <v>1034</v>
      </c>
      <c r="R192" s="197">
        <v>97</v>
      </c>
      <c r="S192" s="197">
        <v>233</v>
      </c>
      <c r="T192" s="197">
        <v>32</v>
      </c>
      <c r="U192" s="197">
        <v>12</v>
      </c>
      <c r="V192" s="197">
        <v>10</v>
      </c>
      <c r="W192" s="188" t="s">
        <v>19</v>
      </c>
      <c r="X192" s="197">
        <v>77</v>
      </c>
      <c r="Y192" s="197">
        <v>158</v>
      </c>
      <c r="Z192" s="188">
        <f>S192+T192+U192*2+V192*3</f>
        <v>319</v>
      </c>
      <c r="AA192" s="197">
        <v>10</v>
      </c>
      <c r="AB192" s="197">
        <v>17</v>
      </c>
      <c r="AC192" s="197">
        <v>3</v>
      </c>
      <c r="AD192" s="9"/>
      <c r="AE192" s="37"/>
      <c r="AF192" s="37"/>
      <c r="AG192" s="37"/>
      <c r="AH192" s="37"/>
      <c r="AI192" s="37"/>
      <c r="AJ192" s="38"/>
      <c r="AK192" s="37"/>
      <c r="AL192" s="38"/>
    </row>
    <row r="193" spans="1:38" x14ac:dyDescent="0.2">
      <c r="A193" s="9"/>
      <c r="B193" s="210">
        <v>1913</v>
      </c>
      <c r="C193" s="211" t="s">
        <v>276</v>
      </c>
      <c r="D193" s="181">
        <f>(S193-V193)/(Q193-V193-Y193+AC193)</f>
        <v>0.235480464625132</v>
      </c>
      <c r="E193" s="181">
        <f>Z193/P193</f>
        <v>0.26385636221701797</v>
      </c>
      <c r="F193" s="181">
        <f>(T193+U193+V193)/S193</f>
        <v>0.30172413793103448</v>
      </c>
      <c r="G193" s="181">
        <f>(Z193+R193)/P193</f>
        <v>0.30757220921155348</v>
      </c>
      <c r="H193" s="181">
        <f>(Z193/Q193)+((S193+X193+AA193)/(Q193+X193+AA193+AC193))</f>
        <v>0.50795014635067504</v>
      </c>
      <c r="I193" s="181">
        <f>V193/Z193</f>
        <v>2.6627218934911243E-2</v>
      </c>
      <c r="J193" s="227">
        <f>(AB193+AC193)/Z193</f>
        <v>0.13017751479289941</v>
      </c>
      <c r="K193" s="181">
        <f>Y193/P193</f>
        <v>0.18969555035128804</v>
      </c>
      <c r="L193" s="227">
        <f>(X193+AA193)/P193</f>
        <v>3.6690085870413738E-2</v>
      </c>
      <c r="M193" s="190">
        <f>(1-D193*0.7635+1-E193*0.7562+1-F193*0.75+1-G193*0.7248+1-H193*0.7021+1-I193*0.6285+J193*0.5884+K193*0.5276+1-L193*0.3663)/11.068</f>
        <v>0.5386098917805513</v>
      </c>
      <c r="N193" s="191">
        <f>M193/0.5152*100</f>
        <v>104.54384545429956</v>
      </c>
      <c r="O193" s="192">
        <f>(N193-100)/100*P193*0.6611</f>
        <v>38.480423104217579</v>
      </c>
      <c r="P193" s="197">
        <v>1281</v>
      </c>
      <c r="Q193" s="189">
        <f>P193-X193-AA193-AB193-AC193</f>
        <v>1190</v>
      </c>
      <c r="R193" s="197">
        <v>56</v>
      </c>
      <c r="S193" s="197">
        <v>232</v>
      </c>
      <c r="T193" s="199">
        <v>43</v>
      </c>
      <c r="U193" s="199">
        <v>18</v>
      </c>
      <c r="V193" s="197">
        <v>9</v>
      </c>
      <c r="W193" s="188" t="s">
        <v>19</v>
      </c>
      <c r="X193" s="197">
        <v>38</v>
      </c>
      <c r="Y193" s="197">
        <v>243</v>
      </c>
      <c r="Z193" s="189">
        <f>S193+T193+U193*2+V193*3</f>
        <v>338</v>
      </c>
      <c r="AA193" s="197">
        <v>9</v>
      </c>
      <c r="AB193" s="199">
        <v>35</v>
      </c>
      <c r="AC193" s="199">
        <v>9</v>
      </c>
      <c r="AD193" s="9"/>
      <c r="AE193" s="37"/>
      <c r="AF193" s="37"/>
      <c r="AG193" s="37"/>
      <c r="AH193" s="37"/>
      <c r="AI193" s="37"/>
      <c r="AJ193" s="38"/>
      <c r="AK193" s="37"/>
      <c r="AL193" s="38"/>
    </row>
    <row r="194" spans="1:38" x14ac:dyDescent="0.2">
      <c r="A194" s="9"/>
      <c r="B194" s="210">
        <v>1984</v>
      </c>
      <c r="C194" s="211" t="s">
        <v>371</v>
      </c>
      <c r="D194" s="181">
        <f>(S194-V194)/(Q194-V194-Y194+AC194)</f>
        <v>0.23622047244094488</v>
      </c>
      <c r="E194" s="181">
        <f>Z194/P194</f>
        <v>0.22992700729927007</v>
      </c>
      <c r="F194" s="181">
        <f>(T194+U194+V194)/S194</f>
        <v>0.17708333333333334</v>
      </c>
      <c r="G194" s="181">
        <f>(Z194+R194)/P194</f>
        <v>0.28467153284671531</v>
      </c>
      <c r="H194" s="181">
        <f>(Z194/Q194)+((S194+X194+AA194)/(Q194+X194+AA194+AC194))</f>
        <v>0.5063513675264828</v>
      </c>
      <c r="I194" s="181">
        <f>V194/Z194</f>
        <v>4.7619047619047616E-2</v>
      </c>
      <c r="J194" s="181">
        <f>(AB194+AC194)/Z194</f>
        <v>9.5238095238095233E-2</v>
      </c>
      <c r="K194" s="181">
        <f>Y194/P194</f>
        <v>0.20437956204379562</v>
      </c>
      <c r="L194" s="181">
        <f>(X194+AA194)/P194</f>
        <v>7.2992700729927001E-2</v>
      </c>
      <c r="M194" s="190">
        <f>(1-D194*0.7635+1-E194*0.7562+1-F194*0.75+1-G194*0.7248+1-H194*0.7021+1-I194*0.6285+J194*0.5884+K194*0.5276+1-L194*0.3663)/11.068</f>
        <v>0.54737315673025366</v>
      </c>
      <c r="N194" s="232">
        <f>M194/0.499*100</f>
        <v>109.69401938482038</v>
      </c>
      <c r="O194" s="192">
        <f>(N194-100)/100*P194*0.6611</f>
        <v>35.119764859870045</v>
      </c>
      <c r="P194" s="197">
        <v>548</v>
      </c>
      <c r="Q194" s="188">
        <f>P194-X194-AA194-AB194-AC194</f>
        <v>496</v>
      </c>
      <c r="R194" s="197">
        <v>30</v>
      </c>
      <c r="S194" s="197">
        <v>96</v>
      </c>
      <c r="T194" s="197">
        <v>10</v>
      </c>
      <c r="U194" s="197">
        <v>1</v>
      </c>
      <c r="V194" s="197">
        <v>6</v>
      </c>
      <c r="W194" s="188" t="s">
        <v>19</v>
      </c>
      <c r="X194" s="197">
        <v>36</v>
      </c>
      <c r="Y194" s="197">
        <v>112</v>
      </c>
      <c r="Z194" s="188">
        <f>S194+T194+U194*2+V194*3</f>
        <v>126</v>
      </c>
      <c r="AA194" s="197">
        <v>4</v>
      </c>
      <c r="AB194" s="197">
        <v>9</v>
      </c>
      <c r="AC194" s="197">
        <v>3</v>
      </c>
      <c r="AD194" s="9"/>
      <c r="AE194" s="37"/>
      <c r="AF194" s="37"/>
      <c r="AG194" s="37"/>
      <c r="AH194" s="37"/>
      <c r="AI194" s="37"/>
      <c r="AJ194" s="38"/>
      <c r="AK194" s="37"/>
      <c r="AL194" s="38"/>
    </row>
    <row r="195" spans="1:38" x14ac:dyDescent="0.2">
      <c r="A195" s="9"/>
      <c r="B195" s="196">
        <v>1965</v>
      </c>
      <c r="C195" s="207" t="s">
        <v>144</v>
      </c>
      <c r="D195" s="180">
        <f>(S195-V195)/(Q195-V195-Y195+AC195)</f>
        <v>0.28604118993135014</v>
      </c>
      <c r="E195" s="180">
        <f>Z195/P195</f>
        <v>0.56426332288401249</v>
      </c>
      <c r="F195" s="180">
        <f>(T195+U195+V195)/S195</f>
        <v>0.42937853107344631</v>
      </c>
      <c r="G195" s="180">
        <f>(Z195+W195)/P195</f>
        <v>0.7398119122257053</v>
      </c>
      <c r="H195" s="180">
        <f>(Z195/Q195)+((S195+X195+AA195)/(Q195+X195+AA195+AC195))</f>
        <v>1.0429600324609454</v>
      </c>
      <c r="I195" s="180">
        <f>V195/Z195</f>
        <v>0.14444444444444443</v>
      </c>
      <c r="J195" s="180">
        <f>(AB195+AC195)/Z195</f>
        <v>1.1111111111111112E-2</v>
      </c>
      <c r="K195" s="180">
        <f>Y195/P195</f>
        <v>0.11128526645768025</v>
      </c>
      <c r="L195" s="180">
        <f>(X195+AA195)/P195</f>
        <v>0.11912225705329153</v>
      </c>
      <c r="M195" s="186">
        <f>(D195*0.7635+E195*0.7562+F195*0.75+G195*0.7248+H195*0.7021+I195*0.6285+1-J195*0.5884+1-K195*0.5276+L195*0.3663)/6.931</f>
        <v>0.6210887485334996</v>
      </c>
      <c r="N195" s="187">
        <f>M195/0.4939*100</f>
        <v>125.75192316936619</v>
      </c>
      <c r="O195" s="283">
        <f>(N195-100)/100*P195*0.3389</f>
        <v>55.680344742186527</v>
      </c>
      <c r="P195" s="197">
        <v>638</v>
      </c>
      <c r="Q195" s="188">
        <f>P195-X195-AA195-AB195-AC195</f>
        <v>558</v>
      </c>
      <c r="R195" s="188" t="s">
        <v>19</v>
      </c>
      <c r="S195" s="197">
        <v>177</v>
      </c>
      <c r="T195" s="197">
        <v>21</v>
      </c>
      <c r="U195" s="197">
        <v>3</v>
      </c>
      <c r="V195" s="197">
        <v>52</v>
      </c>
      <c r="W195" s="197">
        <v>112</v>
      </c>
      <c r="X195" s="197">
        <v>76</v>
      </c>
      <c r="Y195" s="197">
        <v>71</v>
      </c>
      <c r="Z195" s="188">
        <f>S195+T195+U195*2+V195*3</f>
        <v>360</v>
      </c>
      <c r="AA195" s="197">
        <v>0</v>
      </c>
      <c r="AB195" s="197">
        <v>2</v>
      </c>
      <c r="AC195" s="197">
        <v>2</v>
      </c>
      <c r="AD195" s="9"/>
      <c r="AE195" s="37"/>
      <c r="AF195" s="37"/>
      <c r="AG195" s="37"/>
      <c r="AH195" s="37"/>
      <c r="AI195" s="37"/>
      <c r="AJ195" s="38"/>
      <c r="AK195" s="37"/>
      <c r="AL195" s="38"/>
    </row>
    <row r="196" spans="1:38" x14ac:dyDescent="0.2">
      <c r="A196" s="9"/>
      <c r="B196" s="196">
        <v>1954</v>
      </c>
      <c r="C196" s="207" t="s">
        <v>144</v>
      </c>
      <c r="D196" s="180">
        <f>(S196-V196)/(Q196-V196-Y196+AC196)</f>
        <v>0.32421052631578945</v>
      </c>
      <c r="E196" s="180">
        <f>Z196/P196</f>
        <v>0.58814352574102968</v>
      </c>
      <c r="F196" s="180">
        <f>(T196+U196+V196)/S196</f>
        <v>0.44615384615384618</v>
      </c>
      <c r="G196" s="180">
        <f>(Z196+W196)/P196</f>
        <v>0.75975039001560063</v>
      </c>
      <c r="H196" s="180">
        <f>(Z196/Q196)+((S196+X196+AA196)/(Q196+X196+AA196+AC196))</f>
        <v>1.0763741503723754</v>
      </c>
      <c r="I196" s="180">
        <f>V196/Z196</f>
        <v>0.10875331564986737</v>
      </c>
      <c r="J196" s="180">
        <f>(AB196+AC196)/Z196</f>
        <v>1.8567639257294429E-2</v>
      </c>
      <c r="K196" s="180">
        <f>Y196/P196</f>
        <v>8.8923556942277687E-2</v>
      </c>
      <c r="L196" s="180">
        <f>(X196+AA196)/P196</f>
        <v>0.10608424336973479</v>
      </c>
      <c r="M196" s="186">
        <f>(D196*0.7635+E196*0.7562+F196*0.75+G196*0.7248+H196*0.7021+I196*0.6285+1-J196*0.5884+1-K196*0.5276+L196*0.3663)/6.931</f>
        <v>0.63232758316738513</v>
      </c>
      <c r="N196" s="187">
        <f>M196/0.504*100</f>
        <v>125.46182205702085</v>
      </c>
      <c r="O196" s="283">
        <f>(N196-100)/100*P196*0.3389</f>
        <v>55.311963683747202</v>
      </c>
      <c r="P196" s="197">
        <v>641</v>
      </c>
      <c r="Q196" s="188">
        <f>P196-X196-AA196-AB196-AC196</f>
        <v>566</v>
      </c>
      <c r="R196" s="188" t="s">
        <v>19</v>
      </c>
      <c r="S196" s="197">
        <v>195</v>
      </c>
      <c r="T196" s="197">
        <v>33</v>
      </c>
      <c r="U196" s="197">
        <v>13</v>
      </c>
      <c r="V196" s="197">
        <v>41</v>
      </c>
      <c r="W196" s="197">
        <v>110</v>
      </c>
      <c r="X196" s="197">
        <v>66</v>
      </c>
      <c r="Y196" s="197">
        <v>57</v>
      </c>
      <c r="Z196" s="188">
        <f>S196+T196+U196*2+V196*3</f>
        <v>377</v>
      </c>
      <c r="AA196" s="197">
        <v>2</v>
      </c>
      <c r="AB196" s="197">
        <v>0</v>
      </c>
      <c r="AC196" s="197">
        <v>7</v>
      </c>
      <c r="AD196" s="9"/>
      <c r="AE196" s="37"/>
      <c r="AF196" s="37"/>
      <c r="AG196" s="37"/>
      <c r="AH196" s="37"/>
      <c r="AI196" s="37"/>
      <c r="AJ196" s="38"/>
      <c r="AK196" s="37"/>
      <c r="AL196" s="38"/>
    </row>
    <row r="197" spans="1:38" x14ac:dyDescent="0.2">
      <c r="A197" s="9"/>
      <c r="B197" s="196">
        <v>1969</v>
      </c>
      <c r="C197" s="207" t="s">
        <v>121</v>
      </c>
      <c r="D197" s="180">
        <f>(S197-V197)/(Q197-V197-Y197+AC197)</f>
        <v>0.28940568475452194</v>
      </c>
      <c r="E197" s="180">
        <f>Z197/P197</f>
        <v>0.5168539325842697</v>
      </c>
      <c r="F197" s="180">
        <f>(T197+U197+V197)/S197</f>
        <v>0.46496815286624205</v>
      </c>
      <c r="G197" s="180">
        <f>(Z197+W197)/P197</f>
        <v>0.7191011235955056</v>
      </c>
      <c r="H197" s="180">
        <f>(Z197/Q197)+((S197+X197+AA197)/(Q197+X197+AA197+AC197))</f>
        <v>1.1084529557721163</v>
      </c>
      <c r="I197" s="180">
        <f>V197/Z197</f>
        <v>0.13975155279503104</v>
      </c>
      <c r="J197" s="180">
        <f>(AB197+AC197)/Z197</f>
        <v>2.1739130434782608E-2</v>
      </c>
      <c r="K197" s="180">
        <f>Y197/P197</f>
        <v>0.10593900481540931</v>
      </c>
      <c r="L197" s="180">
        <f>(X197+AA197)/P197</f>
        <v>0.20064205457463885</v>
      </c>
      <c r="M197" s="186">
        <f>(D197*0.7635+E197*0.7562+F197*0.75+G197*0.7248+H197*0.7021+I197*0.6285+1-J197*0.5884+1-K197*0.5276+L197*0.3663)/6.931</f>
        <v>0.62799392954025968</v>
      </c>
      <c r="N197" s="187">
        <f>M197/0.4932*100</f>
        <v>127.33048044206402</v>
      </c>
      <c r="O197" s="283">
        <f>(N197-100)/100*P197*0.3389</f>
        <v>57.704127889910531</v>
      </c>
      <c r="P197" s="197">
        <v>623</v>
      </c>
      <c r="Q197" s="188">
        <f>P197-X197-AA197-AB197-AC197</f>
        <v>491</v>
      </c>
      <c r="R197" s="188" t="s">
        <v>19</v>
      </c>
      <c r="S197" s="197">
        <v>157</v>
      </c>
      <c r="T197" s="197">
        <v>26</v>
      </c>
      <c r="U197" s="197">
        <v>2</v>
      </c>
      <c r="V197" s="197">
        <v>45</v>
      </c>
      <c r="W197" s="197">
        <v>126</v>
      </c>
      <c r="X197" s="197">
        <v>121</v>
      </c>
      <c r="Y197" s="197">
        <v>66</v>
      </c>
      <c r="Z197" s="188">
        <f>S197+T197+U197*2+V197*3</f>
        <v>322</v>
      </c>
      <c r="AA197" s="197">
        <v>4</v>
      </c>
      <c r="AB197" s="197">
        <v>0</v>
      </c>
      <c r="AC197" s="197">
        <v>7</v>
      </c>
      <c r="AD197" s="9"/>
      <c r="AE197" s="37"/>
      <c r="AF197" s="37"/>
      <c r="AG197" s="37"/>
      <c r="AH197" s="37"/>
      <c r="AI197" s="37"/>
      <c r="AJ197" s="38"/>
      <c r="AK197" s="37"/>
      <c r="AL197" s="38"/>
    </row>
    <row r="198" spans="1:38" x14ac:dyDescent="0.2">
      <c r="A198" s="9"/>
      <c r="B198" s="196">
        <v>1985</v>
      </c>
      <c r="C198" s="207" t="s">
        <v>370</v>
      </c>
      <c r="D198" s="180">
        <f>(S198-V198)/(Q198-V198-Y198+AC198)</f>
        <v>0.39539347408829173</v>
      </c>
      <c r="E198" s="180">
        <f>Z198/P198</f>
        <v>0.47239263803680981</v>
      </c>
      <c r="F198" s="180">
        <f>(T198+U198+V198)/S198</f>
        <v>0.25</v>
      </c>
      <c r="G198" s="180">
        <f>(Z198+W198)/P198</f>
        <v>0.59815950920245398</v>
      </c>
      <c r="H198" s="180">
        <f>(Z198/Q198)+((S198+X198+AA198)/(Q198+X198+AA198+AC198))</f>
        <v>0.88729255142917385</v>
      </c>
      <c r="I198" s="180">
        <f>V198/Z198</f>
        <v>3.2467532467532464E-2</v>
      </c>
      <c r="J198" s="180">
        <f>(AB198+AC198)/Z198</f>
        <v>1.948051948051948E-2</v>
      </c>
      <c r="K198" s="180">
        <f>Y198/P198</f>
        <v>0.13190184049079753</v>
      </c>
      <c r="L198" s="180">
        <f>(X198+AA198)/P198</f>
        <v>5.2147239263803678E-2</v>
      </c>
      <c r="M198" s="186">
        <f>(D198*0.7635+E198*0.7562+F198*0.75+G198*0.7248+H198*0.7021+I198*0.6285+1-J198*0.5884+1-K198*0.5276+L198*0.3663)/6.931</f>
        <v>0.55714528526491136</v>
      </c>
      <c r="N198" s="187">
        <f>M198/0.5058*100</f>
        <v>110.15130195035812</v>
      </c>
      <c r="O198" s="283">
        <f>(N198-100)/100*P198*0.3389</f>
        <v>22.430601025965903</v>
      </c>
      <c r="P198" s="197">
        <v>652</v>
      </c>
      <c r="Q198" s="188">
        <f>P198-X198-AA198-AB198-AC198</f>
        <v>612</v>
      </c>
      <c r="R198" s="188" t="s">
        <v>19</v>
      </c>
      <c r="S198" s="197">
        <v>216</v>
      </c>
      <c r="T198" s="197">
        <v>26</v>
      </c>
      <c r="U198" s="197">
        <v>18</v>
      </c>
      <c r="V198" s="197">
        <v>10</v>
      </c>
      <c r="W198" s="197">
        <v>82</v>
      </c>
      <c r="X198" s="197">
        <v>34</v>
      </c>
      <c r="Y198" s="197">
        <v>86</v>
      </c>
      <c r="Z198" s="188">
        <f>S198+T198+U198*2+V198*3</f>
        <v>308</v>
      </c>
      <c r="AA198" s="197">
        <v>0</v>
      </c>
      <c r="AB198" s="197">
        <v>1</v>
      </c>
      <c r="AC198" s="197">
        <v>5</v>
      </c>
      <c r="AD198" s="9"/>
      <c r="AE198" s="37"/>
      <c r="AF198" s="37"/>
      <c r="AG198" s="37"/>
      <c r="AH198" s="37"/>
      <c r="AI198" s="37"/>
      <c r="AJ198" s="38"/>
      <c r="AK198" s="37"/>
      <c r="AL198" s="38"/>
    </row>
    <row r="199" spans="1:38" x14ac:dyDescent="0.2">
      <c r="A199" s="9"/>
      <c r="B199" s="196">
        <v>1979</v>
      </c>
      <c r="C199" s="207" t="s">
        <v>118</v>
      </c>
      <c r="D199" s="180">
        <f>(S199-V199)/(Q199-V199-Y199+AC199)</f>
        <v>0.29692832764505117</v>
      </c>
      <c r="E199" s="180">
        <f>Z199/P199</f>
        <v>0.48749999999999999</v>
      </c>
      <c r="F199" s="180">
        <f>(T199+U199+V199)/S199</f>
        <v>0.42857142857142855</v>
      </c>
      <c r="G199" s="180">
        <f>(Z199+W199)/P199</f>
        <v>0.65833333333333333</v>
      </c>
      <c r="H199" s="180">
        <f>(Z199/Q199)+((S199+X199+AA199)/(Q199+X199+AA199+AC199))</f>
        <v>0.90397012578616365</v>
      </c>
      <c r="I199" s="180">
        <f>V199/Z199</f>
        <v>0.13675213675213677</v>
      </c>
      <c r="J199" s="180">
        <f>(AB199+AC199)/Z199</f>
        <v>2.564102564102564E-2</v>
      </c>
      <c r="K199" s="180">
        <f>Y199/P199</f>
        <v>0.21875</v>
      </c>
      <c r="L199" s="180">
        <f>(X199+AA199)/P199</f>
        <v>0.10416666666666667</v>
      </c>
      <c r="M199" s="186">
        <f>(D199*0.7635+E199*0.7562+F199*0.75+G199*0.7248+H199*0.7021+I199*0.6285+1-J199*0.5884+1-K199*0.5276+L199*0.3663)/6.931</f>
        <v>0.58032369980689236</v>
      </c>
      <c r="N199" s="187">
        <f>M199/0.5078*100</f>
        <v>114.2819416713061</v>
      </c>
      <c r="O199" s="283">
        <f>(N199-100)/100*P199*0.3389</f>
        <v>23.232720155547057</v>
      </c>
      <c r="P199" s="197">
        <v>480</v>
      </c>
      <c r="Q199" s="188">
        <f>P199-X199-AA199-AB199-AC199</f>
        <v>424</v>
      </c>
      <c r="R199" s="188" t="s">
        <v>19</v>
      </c>
      <c r="S199" s="197">
        <v>119</v>
      </c>
      <c r="T199" s="197">
        <v>19</v>
      </c>
      <c r="U199" s="197">
        <v>0</v>
      </c>
      <c r="V199" s="197">
        <v>32</v>
      </c>
      <c r="W199" s="197">
        <v>82</v>
      </c>
      <c r="X199" s="197">
        <v>47</v>
      </c>
      <c r="Y199" s="197">
        <v>105</v>
      </c>
      <c r="Z199" s="188">
        <f>S199+T199+U199*2+V199*3</f>
        <v>234</v>
      </c>
      <c r="AA199" s="197">
        <v>3</v>
      </c>
      <c r="AB199" s="197">
        <v>0</v>
      </c>
      <c r="AC199" s="197">
        <v>6</v>
      </c>
      <c r="AD199" s="9"/>
      <c r="AE199" s="37"/>
      <c r="AF199" s="37"/>
      <c r="AG199" s="37"/>
      <c r="AH199" s="37"/>
      <c r="AI199" s="37"/>
      <c r="AJ199" s="38"/>
      <c r="AK199" s="37"/>
      <c r="AL199" s="38"/>
    </row>
    <row r="200" spans="1:38" x14ac:dyDescent="0.2">
      <c r="A200" s="9"/>
      <c r="B200" s="196">
        <v>1954</v>
      </c>
      <c r="C200" s="207" t="s">
        <v>171</v>
      </c>
      <c r="D200" s="180">
        <f>(S200-V200)/(Q200-V200-Y200+AC200)</f>
        <v>0.29074074074074074</v>
      </c>
      <c r="E200" s="180">
        <f>Z200/P200</f>
        <v>0.43711656441717789</v>
      </c>
      <c r="F200" s="180">
        <f>(T200+U200+V200)/S200</f>
        <v>0.31284916201117319</v>
      </c>
      <c r="G200" s="180">
        <f>(Z200+W200)/P200</f>
        <v>0.62883435582822089</v>
      </c>
      <c r="H200" s="180">
        <f>(Z200/Q200)+((S200+X200+AA200)/(Q200+X200+AA200+AC200))</f>
        <v>0.85514119478989126</v>
      </c>
      <c r="I200" s="180">
        <f>V200/Z200</f>
        <v>7.7192982456140355E-2</v>
      </c>
      <c r="J200" s="180">
        <f>(AB200+AC200)/Z200</f>
        <v>2.8070175438596492E-2</v>
      </c>
      <c r="K200" s="180">
        <f>Y200/P200</f>
        <v>4.4478527607361963E-2</v>
      </c>
      <c r="L200" s="180">
        <f>(X200+AA200)/P200</f>
        <v>9.202453987730061E-2</v>
      </c>
      <c r="M200" s="186">
        <f>(D200*0.7635+E200*0.7562+F200*0.75+G200*0.7248+H200*0.7021+I200*0.6285+1-J200*0.5884+1-K200*0.5276+L200*0.3663)/6.931</f>
        <v>0.56060882456781247</v>
      </c>
      <c r="N200" s="187">
        <f>M200/0.504*100</f>
        <v>111.23190963647073</v>
      </c>
      <c r="O200" s="283">
        <f>(N200-100)/100*P200*0.3389</f>
        <v>24.81834202621555</v>
      </c>
      <c r="P200" s="197">
        <v>652</v>
      </c>
      <c r="Q200" s="188">
        <f>P200-X200-AA200-AB200-AC200</f>
        <v>584</v>
      </c>
      <c r="R200" s="188" t="s">
        <v>19</v>
      </c>
      <c r="S200" s="197">
        <v>179</v>
      </c>
      <c r="T200" s="197">
        <v>28</v>
      </c>
      <c r="U200" s="197">
        <v>6</v>
      </c>
      <c r="V200" s="197">
        <v>22</v>
      </c>
      <c r="W200" s="197">
        <v>125</v>
      </c>
      <c r="X200" s="197">
        <v>56</v>
      </c>
      <c r="Y200" s="197">
        <v>29</v>
      </c>
      <c r="Z200" s="188">
        <f>S200+T200+U200*2+V200*3</f>
        <v>285</v>
      </c>
      <c r="AA200" s="197">
        <v>4</v>
      </c>
      <c r="AB200" s="197">
        <v>1</v>
      </c>
      <c r="AC200" s="197">
        <v>7</v>
      </c>
      <c r="AD200" s="9"/>
      <c r="AE200" s="37"/>
      <c r="AF200" s="37"/>
      <c r="AG200" s="37"/>
      <c r="AH200" s="37"/>
      <c r="AI200" s="37"/>
      <c r="AJ200" s="38"/>
      <c r="AK200" s="37"/>
      <c r="AL200" s="38"/>
    </row>
    <row r="201" spans="1:38" x14ac:dyDescent="0.2">
      <c r="A201" s="9"/>
      <c r="B201" s="196">
        <v>1951</v>
      </c>
      <c r="C201" s="207" t="s">
        <v>171</v>
      </c>
      <c r="D201" s="180">
        <f>(S201-V201)/(Q201-V201-Y201+AC201)</f>
        <v>0.26800000000000002</v>
      </c>
      <c r="E201" s="180">
        <f>Z201/P201</f>
        <v>0.45286195286195285</v>
      </c>
      <c r="F201" s="180">
        <f>(T201+U201+V201)/S201</f>
        <v>0.3105590062111801</v>
      </c>
      <c r="G201" s="180">
        <f>(Z201+W201)/P201</f>
        <v>0.60101010101010099</v>
      </c>
      <c r="H201" s="180">
        <f>(Z201/Q201)+((S201+X201+AA201)/(Q201+X201+AA201+AC201))</f>
        <v>0.84556429860297266</v>
      </c>
      <c r="I201" s="180">
        <f>V201/Z201</f>
        <v>0.10037174721189591</v>
      </c>
      <c r="J201" s="180">
        <f>(AB201+AC201)/Z201</f>
        <v>1.4869888475836431E-2</v>
      </c>
      <c r="K201" s="180">
        <f>Y201/P201</f>
        <v>3.3670033670033669E-2</v>
      </c>
      <c r="L201" s="180">
        <f>(X201+AA201)/P201</f>
        <v>7.9124579124579125E-2</v>
      </c>
      <c r="M201" s="186">
        <f>(D201*0.7635+E201*0.7562+F201*0.75+G201*0.7248+H201*0.7021+I201*0.6285+1-J201*0.5884+1-K201*0.5276+L201*0.3663)/6.931</f>
        <v>0.55905749574179486</v>
      </c>
      <c r="N201" s="187">
        <f>M201/0.504*100</f>
        <v>110.92410629797517</v>
      </c>
      <c r="O201" s="283">
        <f>(N201-100)/100*P201*0.3389</f>
        <v>21.990946968839687</v>
      </c>
      <c r="P201" s="197">
        <v>594</v>
      </c>
      <c r="Q201" s="189">
        <f>P201-X201-AA201-AB201-AC201</f>
        <v>543</v>
      </c>
      <c r="R201" s="188" t="s">
        <v>19</v>
      </c>
      <c r="S201" s="197">
        <v>161</v>
      </c>
      <c r="T201" s="197">
        <v>19</v>
      </c>
      <c r="U201" s="197">
        <v>4</v>
      </c>
      <c r="V201" s="197">
        <v>27</v>
      </c>
      <c r="W201" s="197">
        <v>88</v>
      </c>
      <c r="X201" s="197">
        <v>44</v>
      </c>
      <c r="Y201" s="197">
        <v>20</v>
      </c>
      <c r="Z201" s="188">
        <f>S201+T201+U201*2+V201*3</f>
        <v>269</v>
      </c>
      <c r="AA201" s="197">
        <v>3</v>
      </c>
      <c r="AB201" s="197">
        <v>0</v>
      </c>
      <c r="AC201" s="199">
        <v>4</v>
      </c>
      <c r="AD201" s="9"/>
      <c r="AE201" s="37"/>
      <c r="AF201" s="37"/>
      <c r="AG201" s="37"/>
      <c r="AH201" s="37"/>
      <c r="AI201" s="37"/>
      <c r="AJ201" s="38"/>
      <c r="AK201" s="37"/>
      <c r="AL201" s="38"/>
    </row>
    <row r="202" spans="1:38" x14ac:dyDescent="0.2">
      <c r="A202" s="9"/>
      <c r="B202" s="196">
        <v>1955</v>
      </c>
      <c r="C202" s="207" t="s">
        <v>171</v>
      </c>
      <c r="D202" s="180">
        <f>(S202-V202)/(Q202-V202-Y202+AC202)</f>
        <v>0.24048096192384769</v>
      </c>
      <c r="E202" s="180">
        <f>Z202/P202</f>
        <v>0.41300813008130083</v>
      </c>
      <c r="F202" s="180">
        <f>(T202+U202+V202)/S202</f>
        <v>0.3401360544217687</v>
      </c>
      <c r="G202" s="180">
        <f>(Z202+W202)/P202</f>
        <v>0.58861788617886179</v>
      </c>
      <c r="H202" s="180">
        <f>(Z202/Q202)+((S202+X202+AA202)/(Q202+X202+AA202+AC202))</f>
        <v>0.81860369746074735</v>
      </c>
      <c r="I202" s="180">
        <f>V202/Z202</f>
        <v>0.1062992125984252</v>
      </c>
      <c r="J202" s="180">
        <f>(AB202+AC202)/Z202</f>
        <v>2.7559055118110236E-2</v>
      </c>
      <c r="K202" s="180">
        <f>Y202/P202</f>
        <v>3.2520325203252036E-2</v>
      </c>
      <c r="L202" s="180">
        <f>(X202+AA202)/P202</f>
        <v>0.10894308943089431</v>
      </c>
      <c r="M202" s="186">
        <f>(D202*0.7635+E202*0.7562+F202*0.75+G202*0.7248+H202*0.7021+I202*0.6285+1-J202*0.5884+1-K202*0.5276+L202*0.3663)/6.931</f>
        <v>0.55197508877077017</v>
      </c>
      <c r="N202" s="187">
        <f>M202/0.5064*100</f>
        <v>108.99982005741909</v>
      </c>
      <c r="O202" s="283">
        <f>(N202-100)/100*P202*0.3389</f>
        <v>18.757739957374866</v>
      </c>
      <c r="P202" s="197">
        <v>615</v>
      </c>
      <c r="Q202" s="188">
        <f>P202-X202-AA202-AB202-AC202</f>
        <v>541</v>
      </c>
      <c r="R202" s="188" t="s">
        <v>19</v>
      </c>
      <c r="S202" s="197">
        <v>147</v>
      </c>
      <c r="T202" s="197">
        <v>20</v>
      </c>
      <c r="U202" s="197">
        <v>3</v>
      </c>
      <c r="V202" s="197">
        <v>27</v>
      </c>
      <c r="W202" s="197">
        <v>108</v>
      </c>
      <c r="X202" s="197">
        <v>60</v>
      </c>
      <c r="Y202" s="197">
        <v>20</v>
      </c>
      <c r="Z202" s="188">
        <f>S202+T202+U202*2+V202*3</f>
        <v>254</v>
      </c>
      <c r="AA202" s="197">
        <v>7</v>
      </c>
      <c r="AB202" s="197">
        <v>2</v>
      </c>
      <c r="AC202" s="197">
        <v>5</v>
      </c>
      <c r="AD202" s="9"/>
      <c r="AE202" s="37"/>
      <c r="AF202" s="37"/>
      <c r="AG202" s="37"/>
      <c r="AH202" s="37"/>
      <c r="AI202" s="37"/>
      <c r="AJ202" s="38"/>
      <c r="AK202" s="37"/>
      <c r="AL202" s="38"/>
    </row>
    <row r="203" spans="1:38" x14ac:dyDescent="0.2">
      <c r="A203" s="9"/>
      <c r="B203" s="196">
        <v>1965</v>
      </c>
      <c r="C203" s="207" t="s">
        <v>387</v>
      </c>
      <c r="D203" s="180">
        <f>(S203-V203)/(Q203-V203-Y203+AC203)</f>
        <v>0.30581613508442779</v>
      </c>
      <c r="E203" s="180">
        <f>Z203/P203</f>
        <v>0.42307692307692307</v>
      </c>
      <c r="F203" s="180">
        <f>(T203+U203+V203)/S203</f>
        <v>0.4175824175824176</v>
      </c>
      <c r="G203" s="180">
        <f>(Z203+W203)/P203</f>
        <v>0.52884615384615385</v>
      </c>
      <c r="H203" s="180">
        <f>(Z203/Q203)+((S203+X203+AA203)/(Q203+X203+AA203+AC203))</f>
        <v>0.78102201924916614</v>
      </c>
      <c r="I203" s="180">
        <f>V203/Z203</f>
        <v>6.1688311688311688E-2</v>
      </c>
      <c r="J203" s="180">
        <f>(AB203+AC203)/Z203</f>
        <v>4.5454545454545456E-2</v>
      </c>
      <c r="K203" s="180">
        <f>Y203/P203</f>
        <v>0.16758241758241757</v>
      </c>
      <c r="L203" s="180">
        <f>(X203+AA203)/P203</f>
        <v>6.5934065934065936E-2</v>
      </c>
      <c r="M203" s="186">
        <f>(D203*0.7635+E203*0.7562+F203*0.75+G203*0.7248+H203*0.7021+I203*0.6285+1-J203*0.5884+1-K203*0.5276+L203*0.3663)/6.931</f>
        <v>0.54047500616980071</v>
      </c>
      <c r="N203" s="187">
        <f>M203/0.4939*100</f>
        <v>109.43004781733158</v>
      </c>
      <c r="O203" s="283">
        <f>(N203-100)/100*P203*0.3389</f>
        <v>23.265738534537945</v>
      </c>
      <c r="P203" s="197">
        <v>728</v>
      </c>
      <c r="Q203" s="188">
        <f>P203-X203-AA203-AB203-AC203</f>
        <v>666</v>
      </c>
      <c r="R203" s="188" t="s">
        <v>19</v>
      </c>
      <c r="S203" s="197">
        <v>182</v>
      </c>
      <c r="T203" s="197">
        <v>45</v>
      </c>
      <c r="U203" s="197">
        <v>12</v>
      </c>
      <c r="V203" s="197">
        <v>19</v>
      </c>
      <c r="W203" s="197">
        <v>77</v>
      </c>
      <c r="X203" s="197">
        <v>41</v>
      </c>
      <c r="Y203" s="197">
        <v>122</v>
      </c>
      <c r="Z203" s="188">
        <f>S203+T203+U203*2+V203*3</f>
        <v>308</v>
      </c>
      <c r="AA203" s="197">
        <v>7</v>
      </c>
      <c r="AB203" s="197">
        <v>6</v>
      </c>
      <c r="AC203" s="197">
        <v>8</v>
      </c>
      <c r="AD203" s="9"/>
      <c r="AE203" s="37"/>
      <c r="AF203" s="37"/>
      <c r="AG203" s="37"/>
      <c r="AH203" s="37"/>
      <c r="AI203" s="37"/>
      <c r="AJ203" s="38"/>
      <c r="AK203" s="37"/>
      <c r="AL203" s="38"/>
    </row>
    <row r="204" spans="1:38" x14ac:dyDescent="0.2">
      <c r="A204" s="9"/>
      <c r="B204" s="198"/>
      <c r="C204" s="208"/>
      <c r="D204" s="204"/>
      <c r="E204" s="204"/>
      <c r="F204" s="204"/>
      <c r="G204" s="204"/>
      <c r="H204" s="204"/>
      <c r="I204" s="204"/>
      <c r="J204" s="204"/>
      <c r="K204" s="204"/>
      <c r="L204" s="204"/>
      <c r="M204" s="204"/>
      <c r="N204" s="201"/>
      <c r="O204" s="156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9"/>
      <c r="AE204" s="37"/>
      <c r="AF204" s="37"/>
      <c r="AG204" s="37"/>
      <c r="AH204" s="37"/>
      <c r="AI204" s="37"/>
      <c r="AJ204" s="38"/>
      <c r="AK204" s="37"/>
      <c r="AL204" s="38"/>
    </row>
    <row r="205" spans="1:38" x14ac:dyDescent="0.2">
      <c r="A205" s="9"/>
      <c r="B205" s="198"/>
      <c r="C205" s="216" t="s">
        <v>413</v>
      </c>
      <c r="D205" s="212">
        <v>0.32727146605426571</v>
      </c>
      <c r="E205" s="213">
        <v>0.49495923847621903</v>
      </c>
      <c r="F205" s="213">
        <v>0.39429134819162587</v>
      </c>
      <c r="G205" s="213">
        <v>0.66966237465012302</v>
      </c>
      <c r="H205" s="213">
        <v>0.99097826818429247</v>
      </c>
      <c r="I205" s="213">
        <v>9.5454453385428892E-2</v>
      </c>
      <c r="J205" s="213">
        <v>3.0410823545681882E-2</v>
      </c>
      <c r="K205" s="213">
        <v>0.11401813628001864</v>
      </c>
      <c r="L205" s="213">
        <v>0.12928067912914118</v>
      </c>
      <c r="M205" s="213">
        <v>0.59591899037550067</v>
      </c>
      <c r="N205" s="218">
        <v>117.78904733902385</v>
      </c>
      <c r="O205" s="225">
        <v>39.001775390463756</v>
      </c>
      <c r="P205" s="39"/>
      <c r="Q205" s="39"/>
      <c r="R205" s="306"/>
      <c r="S205" s="39"/>
      <c r="T205" s="39"/>
      <c r="U205" s="39"/>
      <c r="V205" s="39"/>
      <c r="W205" s="306"/>
      <c r="X205" s="39"/>
      <c r="Y205" s="39"/>
      <c r="Z205" s="39"/>
      <c r="AA205" s="39"/>
      <c r="AB205" s="39"/>
      <c r="AC205" s="39"/>
      <c r="AD205" s="9"/>
      <c r="AE205" s="37"/>
      <c r="AF205" s="37"/>
      <c r="AG205" s="37"/>
      <c r="AH205" s="37"/>
      <c r="AI205" s="37"/>
      <c r="AJ205" s="38"/>
      <c r="AK205" s="37"/>
      <c r="AL205" s="38"/>
    </row>
    <row r="206" spans="1:38" x14ac:dyDescent="0.2">
      <c r="A206" s="9"/>
      <c r="B206" s="198"/>
      <c r="C206" s="216" t="s">
        <v>414</v>
      </c>
      <c r="D206" s="214">
        <v>0.24869343024325491</v>
      </c>
      <c r="E206" s="215">
        <v>0.27241497158092831</v>
      </c>
      <c r="F206" s="215">
        <v>0.24828231620679639</v>
      </c>
      <c r="G206" s="215">
        <v>0.33861826956108848</v>
      </c>
      <c r="H206" s="215">
        <v>0.55454282057555571</v>
      </c>
      <c r="I206" s="215">
        <v>4.5377797610684799E-2</v>
      </c>
      <c r="J206" s="215">
        <v>6.719173079482052E-2</v>
      </c>
      <c r="K206" s="215">
        <v>0.1844865311300426</v>
      </c>
      <c r="L206" s="215">
        <v>6.1702017650764718E-2</v>
      </c>
      <c r="M206" s="215">
        <v>0.53025703872432217</v>
      </c>
      <c r="N206" s="226">
        <v>105.83527559791496</v>
      </c>
      <c r="O206" s="217">
        <v>38.906345614864492</v>
      </c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9"/>
      <c r="AE206" s="37"/>
      <c r="AF206" s="37"/>
      <c r="AG206" s="37"/>
      <c r="AH206" s="37"/>
      <c r="AI206" s="37"/>
      <c r="AJ206" s="38"/>
      <c r="AK206" s="37"/>
      <c r="AL206" s="38"/>
    </row>
    <row r="207" spans="1:38" x14ac:dyDescent="0.2">
      <c r="A207" s="9"/>
      <c r="B207" s="198"/>
      <c r="C207" s="208"/>
      <c r="D207" s="204"/>
      <c r="E207" s="204"/>
      <c r="F207" s="204"/>
      <c r="G207" s="204"/>
      <c r="H207" s="204"/>
      <c r="I207" s="204"/>
      <c r="J207" s="204"/>
      <c r="K207" s="204"/>
      <c r="L207" s="204"/>
      <c r="M207" s="204"/>
      <c r="N207" s="201"/>
      <c r="O207" s="156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9"/>
      <c r="AE207" s="37"/>
      <c r="AF207" s="37"/>
      <c r="AG207" s="37"/>
      <c r="AH207" s="37"/>
      <c r="AI207" s="37"/>
      <c r="AJ207" s="38"/>
      <c r="AK207" s="37"/>
      <c r="AL207" s="38"/>
    </row>
    <row r="208" spans="1:38" x14ac:dyDescent="0.2">
      <c r="AE208" s="37"/>
      <c r="AF208" s="37"/>
      <c r="AG208" s="37"/>
      <c r="AH208" s="37"/>
      <c r="AI208" s="37"/>
      <c r="AJ208" s="38"/>
      <c r="AK208" s="37"/>
      <c r="AL208" s="38"/>
    </row>
    <row r="209" spans="31:38" x14ac:dyDescent="0.2">
      <c r="AE209" s="37"/>
      <c r="AF209" s="37"/>
      <c r="AG209" s="37"/>
      <c r="AH209" s="37"/>
      <c r="AI209" s="37"/>
      <c r="AJ209" s="38"/>
      <c r="AK209" s="37"/>
      <c r="AL209" s="38"/>
    </row>
    <row r="210" spans="31:38" x14ac:dyDescent="0.2">
      <c r="AE210" s="37"/>
      <c r="AF210" s="37"/>
      <c r="AG210" s="37"/>
      <c r="AH210" s="37"/>
      <c r="AI210" s="37"/>
      <c r="AJ210" s="38"/>
      <c r="AK210" s="37"/>
      <c r="AL210" s="38"/>
    </row>
    <row r="211" spans="31:38" x14ac:dyDescent="0.2">
      <c r="AE211" s="37"/>
      <c r="AF211" s="37"/>
      <c r="AG211" s="37"/>
      <c r="AH211" s="37"/>
      <c r="AI211" s="37"/>
      <c r="AJ211" s="38"/>
      <c r="AK211" s="37"/>
      <c r="AL211" s="38"/>
    </row>
    <row r="212" spans="31:38" x14ac:dyDescent="0.2">
      <c r="AE212" s="37"/>
      <c r="AF212" s="37"/>
      <c r="AG212" s="37"/>
      <c r="AH212" s="37"/>
      <c r="AI212" s="37"/>
      <c r="AJ212" s="38"/>
      <c r="AK212" s="37"/>
      <c r="AL212" s="38"/>
    </row>
    <row r="213" spans="31:38" x14ac:dyDescent="0.2">
      <c r="AE213" s="37"/>
      <c r="AF213" s="37"/>
      <c r="AG213" s="37"/>
      <c r="AH213" s="37"/>
      <c r="AI213" s="37"/>
      <c r="AJ213" s="38"/>
      <c r="AK213" s="37"/>
      <c r="AL213" s="38"/>
    </row>
    <row r="214" spans="31:38" x14ac:dyDescent="0.2">
      <c r="AE214" s="37"/>
      <c r="AF214" s="37"/>
      <c r="AG214" s="37"/>
      <c r="AH214" s="37"/>
      <c r="AI214" s="37"/>
      <c r="AJ214" s="38"/>
      <c r="AK214" s="37"/>
      <c r="AL214" s="38"/>
    </row>
    <row r="215" spans="31:38" x14ac:dyDescent="0.2">
      <c r="AE215" s="37"/>
      <c r="AF215" s="37"/>
      <c r="AG215" s="37"/>
      <c r="AH215" s="37"/>
      <c r="AI215" s="37"/>
      <c r="AJ215" s="38"/>
      <c r="AK215" s="37"/>
      <c r="AL215" s="38"/>
    </row>
    <row r="216" spans="31:38" x14ac:dyDescent="0.2">
      <c r="AE216" s="37"/>
      <c r="AF216" s="37"/>
      <c r="AG216" s="37"/>
      <c r="AH216" s="37"/>
      <c r="AI216" s="37"/>
      <c r="AJ216" s="38"/>
      <c r="AK216" s="37"/>
      <c r="AL216" s="38"/>
    </row>
    <row r="217" spans="31:38" x14ac:dyDescent="0.2">
      <c r="AE217" s="37"/>
      <c r="AF217" s="37"/>
      <c r="AG217" s="37"/>
      <c r="AH217" s="37"/>
      <c r="AI217" s="37"/>
      <c r="AJ217" s="38"/>
      <c r="AK217" s="37"/>
      <c r="AL217" s="38"/>
    </row>
    <row r="218" spans="31:38" x14ac:dyDescent="0.2">
      <c r="AE218" s="37"/>
      <c r="AF218" s="37"/>
      <c r="AG218" s="37"/>
      <c r="AH218" s="37"/>
      <c r="AI218" s="37"/>
      <c r="AJ218" s="38"/>
      <c r="AK218" s="37"/>
      <c r="AL218" s="38"/>
    </row>
    <row r="219" spans="31:38" x14ac:dyDescent="0.2">
      <c r="AE219" s="37"/>
      <c r="AF219" s="37"/>
      <c r="AG219" s="37"/>
      <c r="AH219" s="37"/>
      <c r="AI219" s="37"/>
      <c r="AJ219" s="38"/>
      <c r="AK219" s="37"/>
      <c r="AL219" s="38"/>
    </row>
    <row r="220" spans="31:38" x14ac:dyDescent="0.2">
      <c r="AE220" s="37"/>
      <c r="AF220" s="37"/>
      <c r="AG220" s="37"/>
      <c r="AH220" s="37"/>
      <c r="AI220" s="37"/>
      <c r="AJ220" s="38"/>
      <c r="AK220" s="37"/>
      <c r="AL220" s="38"/>
    </row>
    <row r="221" spans="31:38" x14ac:dyDescent="0.2">
      <c r="AE221" s="37"/>
      <c r="AF221" s="37"/>
      <c r="AG221" s="37"/>
      <c r="AH221" s="37"/>
      <c r="AI221" s="37"/>
      <c r="AJ221" s="38"/>
      <c r="AK221" s="37"/>
      <c r="AL221" s="38"/>
    </row>
    <row r="222" spans="31:38" x14ac:dyDescent="0.2">
      <c r="AE222" s="37"/>
      <c r="AF222" s="37"/>
      <c r="AG222" s="37"/>
      <c r="AH222" s="37"/>
      <c r="AI222" s="37"/>
      <c r="AJ222" s="38"/>
      <c r="AK222" s="37"/>
      <c r="AL222" s="38"/>
    </row>
    <row r="223" spans="31:38" x14ac:dyDescent="0.2">
      <c r="AE223" s="37"/>
      <c r="AF223" s="37"/>
      <c r="AG223" s="37"/>
      <c r="AH223" s="37"/>
      <c r="AI223" s="37"/>
      <c r="AJ223" s="38"/>
      <c r="AK223" s="37"/>
      <c r="AL223" s="38"/>
    </row>
    <row r="224" spans="31:38" x14ac:dyDescent="0.2">
      <c r="AE224" s="37"/>
      <c r="AF224" s="37"/>
      <c r="AG224" s="37"/>
      <c r="AH224" s="37"/>
      <c r="AI224" s="37"/>
      <c r="AJ224" s="38"/>
      <c r="AK224" s="37"/>
      <c r="AL224" s="38"/>
    </row>
    <row r="225" spans="31:39" x14ac:dyDescent="0.2">
      <c r="AE225" s="37"/>
      <c r="AF225" s="37"/>
      <c r="AG225" s="37"/>
      <c r="AH225" s="37"/>
      <c r="AI225" s="37"/>
      <c r="AJ225" s="38"/>
      <c r="AK225" s="37"/>
      <c r="AL225" s="38"/>
    </row>
    <row r="226" spans="31:39" x14ac:dyDescent="0.2">
      <c r="AE226" s="37"/>
      <c r="AF226" s="37"/>
      <c r="AG226" s="37"/>
      <c r="AH226" s="37"/>
      <c r="AI226" s="37"/>
      <c r="AJ226" s="38"/>
      <c r="AK226" s="37"/>
      <c r="AL226" s="38"/>
    </row>
    <row r="227" spans="31:39" x14ac:dyDescent="0.2">
      <c r="AE227" s="37"/>
      <c r="AF227" s="37"/>
      <c r="AG227" s="37"/>
      <c r="AH227" s="37"/>
      <c r="AI227" s="37"/>
      <c r="AJ227" s="38"/>
      <c r="AK227" s="37"/>
      <c r="AL227" s="38"/>
    </row>
    <row r="228" spans="31:39" x14ac:dyDescent="0.2">
      <c r="AE228" s="36"/>
      <c r="AF228" s="36"/>
      <c r="AG228" s="36"/>
      <c r="AH228" s="36"/>
      <c r="AI228" s="36"/>
      <c r="AJ228" s="35"/>
      <c r="AK228" s="36"/>
      <c r="AL228" s="35"/>
      <c r="AM228" s="28"/>
    </row>
    <row r="229" spans="31:39" x14ac:dyDescent="0.2">
      <c r="AE229" s="37"/>
      <c r="AF229" s="37"/>
      <c r="AG229" s="37"/>
      <c r="AH229" s="37"/>
      <c r="AI229" s="37"/>
      <c r="AJ229" s="38"/>
      <c r="AK229" s="37"/>
      <c r="AL229" s="38"/>
    </row>
    <row r="230" spans="31:39" x14ac:dyDescent="0.2">
      <c r="AE230" s="37"/>
      <c r="AF230" s="37"/>
      <c r="AG230" s="37"/>
      <c r="AH230" s="37"/>
      <c r="AI230" s="37"/>
      <c r="AJ230" s="38"/>
      <c r="AK230" s="37"/>
      <c r="AL230" s="38"/>
    </row>
    <row r="231" spans="31:39" x14ac:dyDescent="0.2">
      <c r="AE231" s="37"/>
      <c r="AF231" s="37"/>
      <c r="AG231" s="37"/>
      <c r="AH231" s="37"/>
      <c r="AI231" s="37"/>
      <c r="AJ231" s="38"/>
      <c r="AK231" s="37"/>
      <c r="AL231" s="38"/>
    </row>
    <row r="232" spans="31:39" x14ac:dyDescent="0.2">
      <c r="AE232" s="37"/>
      <c r="AF232" s="37"/>
      <c r="AG232" s="37"/>
      <c r="AH232" s="37"/>
      <c r="AI232" s="37"/>
      <c r="AJ232" s="38"/>
      <c r="AK232" s="37"/>
      <c r="AL232" s="38"/>
    </row>
    <row r="233" spans="31:39" x14ac:dyDescent="0.2">
      <c r="AE233" s="37"/>
      <c r="AF233" s="37"/>
      <c r="AG233" s="37"/>
      <c r="AH233" s="37"/>
      <c r="AI233" s="37"/>
      <c r="AJ233" s="38"/>
      <c r="AK233" s="37"/>
      <c r="AL233" s="38"/>
    </row>
    <row r="234" spans="31:39" x14ac:dyDescent="0.2">
      <c r="AE234" s="37"/>
      <c r="AF234" s="37"/>
      <c r="AG234" s="37"/>
      <c r="AH234" s="37"/>
      <c r="AI234" s="37"/>
      <c r="AJ234" s="38"/>
      <c r="AK234" s="37"/>
      <c r="AL234" s="38"/>
    </row>
    <row r="235" spans="31:39" x14ac:dyDescent="0.2">
      <c r="AE235" s="37"/>
      <c r="AF235" s="37"/>
      <c r="AG235" s="37"/>
      <c r="AH235" s="37"/>
      <c r="AI235" s="37"/>
      <c r="AJ235" s="38"/>
      <c r="AK235" s="37"/>
      <c r="AL235" s="38"/>
    </row>
    <row r="236" spans="31:39" x14ac:dyDescent="0.2">
      <c r="AE236" s="37"/>
      <c r="AF236" s="37"/>
      <c r="AG236" s="37"/>
      <c r="AH236" s="37"/>
      <c r="AI236" s="37"/>
      <c r="AJ236" s="38"/>
      <c r="AK236" s="37"/>
      <c r="AL236" s="38"/>
    </row>
    <row r="237" spans="31:39" x14ac:dyDescent="0.2">
      <c r="AE237" s="37"/>
      <c r="AF237" s="37"/>
      <c r="AG237" s="37"/>
      <c r="AH237" s="37"/>
      <c r="AI237" s="37"/>
      <c r="AJ237" s="38"/>
      <c r="AK237" s="37"/>
      <c r="AL237" s="38"/>
    </row>
    <row r="238" spans="31:39" x14ac:dyDescent="0.2">
      <c r="AE238" s="37"/>
      <c r="AF238" s="37"/>
      <c r="AG238" s="37"/>
      <c r="AH238" s="37"/>
      <c r="AI238" s="37"/>
      <c r="AJ238" s="38"/>
      <c r="AK238" s="37"/>
      <c r="AL238" s="38"/>
    </row>
    <row r="239" spans="31:39" x14ac:dyDescent="0.2">
      <c r="AE239" s="37"/>
      <c r="AF239" s="37"/>
      <c r="AG239" s="37"/>
      <c r="AH239" s="37"/>
      <c r="AI239" s="37"/>
      <c r="AJ239" s="38"/>
      <c r="AK239" s="37"/>
      <c r="AL239" s="38"/>
    </row>
    <row r="240" spans="31:39" x14ac:dyDescent="0.2">
      <c r="AE240" s="37"/>
      <c r="AF240" s="37"/>
      <c r="AG240" s="37"/>
      <c r="AH240" s="37"/>
      <c r="AI240" s="37"/>
      <c r="AJ240" s="38"/>
      <c r="AK240" s="37"/>
      <c r="AL240" s="38"/>
    </row>
    <row r="241" spans="31:38" x14ac:dyDescent="0.2">
      <c r="AE241" s="37"/>
      <c r="AF241" s="37"/>
      <c r="AG241" s="37"/>
      <c r="AH241" s="37"/>
      <c r="AI241" s="37"/>
      <c r="AJ241" s="38"/>
      <c r="AK241" s="37"/>
      <c r="AL241" s="38"/>
    </row>
    <row r="242" spans="31:38" x14ac:dyDescent="0.2">
      <c r="AE242" s="37"/>
      <c r="AF242" s="37"/>
      <c r="AG242" s="37"/>
      <c r="AH242" s="37"/>
      <c r="AI242" s="37"/>
      <c r="AJ242" s="38"/>
      <c r="AK242" s="37"/>
      <c r="AL242" s="38"/>
    </row>
    <row r="243" spans="31:38" x14ac:dyDescent="0.2">
      <c r="AE243" s="37"/>
      <c r="AF243" s="37"/>
      <c r="AG243" s="37"/>
      <c r="AH243" s="37"/>
      <c r="AI243" s="37"/>
      <c r="AJ243" s="38"/>
      <c r="AK243" s="37"/>
      <c r="AL243" s="38"/>
    </row>
    <row r="244" spans="31:38" x14ac:dyDescent="0.2">
      <c r="AE244" s="37"/>
      <c r="AF244" s="37"/>
      <c r="AG244" s="37"/>
      <c r="AH244" s="37"/>
      <c r="AI244" s="37"/>
      <c r="AJ244" s="38"/>
      <c r="AK244" s="37"/>
      <c r="AL244" s="38"/>
    </row>
    <row r="245" spans="31:38" x14ac:dyDescent="0.2">
      <c r="AE245" s="37"/>
      <c r="AF245" s="37"/>
      <c r="AG245" s="37"/>
      <c r="AH245" s="37"/>
      <c r="AI245" s="37"/>
      <c r="AJ245" s="38"/>
      <c r="AK245" s="37"/>
      <c r="AL245" s="38"/>
    </row>
    <row r="246" spans="31:38" x14ac:dyDescent="0.2">
      <c r="AE246" s="37"/>
      <c r="AF246" s="37"/>
      <c r="AG246" s="37"/>
      <c r="AH246" s="37"/>
      <c r="AI246" s="37"/>
      <c r="AJ246" s="38"/>
      <c r="AK246" s="37"/>
      <c r="AL246" s="38"/>
    </row>
    <row r="247" spans="31:38" x14ac:dyDescent="0.2">
      <c r="AE247" s="37"/>
      <c r="AF247" s="37"/>
      <c r="AG247" s="37"/>
      <c r="AH247" s="37"/>
      <c r="AI247" s="37"/>
      <c r="AJ247" s="38"/>
      <c r="AK247" s="37"/>
      <c r="AL247" s="38"/>
    </row>
    <row r="248" spans="31:38" x14ac:dyDescent="0.2">
      <c r="AE248" s="37"/>
      <c r="AF248" s="37"/>
      <c r="AG248" s="37"/>
      <c r="AH248" s="37"/>
      <c r="AI248" s="37"/>
      <c r="AJ248" s="38"/>
      <c r="AK248" s="37"/>
      <c r="AL248" s="38"/>
    </row>
    <row r="249" spans="31:38" x14ac:dyDescent="0.2">
      <c r="AE249" s="37"/>
      <c r="AF249" s="37"/>
      <c r="AG249" s="37"/>
      <c r="AH249" s="37"/>
      <c r="AI249" s="37"/>
      <c r="AJ249" s="38"/>
      <c r="AK249" s="37"/>
      <c r="AL249" s="38"/>
    </row>
    <row r="263" spans="1:30" x14ac:dyDescent="0.2">
      <c r="A263" s="28"/>
      <c r="AD263" s="28"/>
    </row>
    <row r="273" spans="31:35" x14ac:dyDescent="0.2">
      <c r="AE273" s="34"/>
      <c r="AF273" s="34"/>
      <c r="AG273" s="34"/>
      <c r="AH273" s="34"/>
      <c r="AI273" s="34"/>
    </row>
  </sheetData>
  <sortState xmlns:xlrd2="http://schemas.microsoft.com/office/spreadsheetml/2017/richdata2" ref="B2:AC203">
    <sortCondition ref="C2:C20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DD827-8EC8-5648-9562-625FA942C18D}">
  <dimension ref="A1:AF265"/>
  <sheetViews>
    <sheetView topLeftCell="L1" zoomScale="150" zoomScaleNormal="150" zoomScaleSheetLayoutView="100" workbookViewId="0">
      <pane ySplit="1" topLeftCell="L111" activePane="bottomLeft" state="frozen"/>
      <selection activeCell="N1" sqref="N1"/>
      <selection pane="bottomLeft" activeCell="C128" sqref="C128"/>
    </sheetView>
  </sheetViews>
  <sheetFormatPr defaultColWidth="8.875" defaultRowHeight="15" x14ac:dyDescent="0.2"/>
  <cols>
    <col min="1" max="1" width="2.28515625" style="17" customWidth="1"/>
    <col min="2" max="2" width="5.24609375" style="1" bestFit="1" customWidth="1"/>
    <col min="3" max="3" width="19.234375" style="209" bestFit="1" customWidth="1"/>
    <col min="4" max="10" width="6.859375" style="205" bestFit="1" customWidth="1"/>
    <col min="11" max="11" width="6.9921875" style="205" bestFit="1" customWidth="1"/>
    <col min="12" max="12" width="7.80078125" style="205" bestFit="1" customWidth="1"/>
    <col min="13" max="13" width="6.9921875" style="205" bestFit="1" customWidth="1"/>
    <col min="14" max="14" width="6.859375" style="202" bestFit="1" customWidth="1"/>
    <col min="15" max="15" width="5.51171875" style="285" bestFit="1" customWidth="1"/>
    <col min="16" max="17" width="5.78125" style="248" bestFit="1" customWidth="1"/>
    <col min="18" max="19" width="4.16796875" style="248" bestFit="1" customWidth="1"/>
    <col min="20" max="21" width="3.09375" style="248" bestFit="1" customWidth="1"/>
    <col min="22" max="22" width="3.359375" style="248" bestFit="1" customWidth="1"/>
    <col min="23" max="25" width="4.16796875" style="248" bestFit="1" customWidth="1"/>
    <col min="26" max="26" width="4.4375" style="248" bestFit="1" customWidth="1"/>
    <col min="27" max="28" width="3.09375" style="248" bestFit="1" customWidth="1"/>
    <col min="29" max="29" width="2.28515625" style="17" customWidth="1"/>
    <col min="30" max="30" width="5.24609375" style="32" bestFit="1" customWidth="1"/>
    <col min="31" max="31" width="6.859375" style="32" bestFit="1" customWidth="1"/>
    <col min="32" max="32" width="2.28515625" style="17" customWidth="1"/>
    <col min="33" max="16384" width="8.875" style="2"/>
  </cols>
  <sheetData>
    <row r="1" spans="1:32" s="1" customFormat="1" x14ac:dyDescent="0.2">
      <c r="A1" s="8"/>
      <c r="B1" s="251" t="s">
        <v>0</v>
      </c>
      <c r="C1" s="252" t="s">
        <v>1</v>
      </c>
      <c r="D1" s="253" t="s">
        <v>12</v>
      </c>
      <c r="E1" s="253" t="s">
        <v>13</v>
      </c>
      <c r="F1" s="253" t="s">
        <v>287</v>
      </c>
      <c r="G1" s="253" t="s">
        <v>288</v>
      </c>
      <c r="H1" s="253" t="s">
        <v>14</v>
      </c>
      <c r="I1" s="253" t="s">
        <v>286</v>
      </c>
      <c r="J1" s="253" t="s">
        <v>289</v>
      </c>
      <c r="K1" s="253" t="s">
        <v>15</v>
      </c>
      <c r="L1" s="253" t="s">
        <v>290</v>
      </c>
      <c r="M1" s="254" t="s">
        <v>282</v>
      </c>
      <c r="N1" s="255" t="s">
        <v>291</v>
      </c>
      <c r="O1" s="256" t="s">
        <v>326</v>
      </c>
      <c r="P1" s="257" t="s">
        <v>7</v>
      </c>
      <c r="Q1" s="257" t="s">
        <v>8</v>
      </c>
      <c r="R1" s="257" t="s">
        <v>17</v>
      </c>
      <c r="S1" s="257" t="s">
        <v>6</v>
      </c>
      <c r="T1" s="257" t="s">
        <v>292</v>
      </c>
      <c r="U1" s="257" t="s">
        <v>293</v>
      </c>
      <c r="V1" s="257" t="s">
        <v>2</v>
      </c>
      <c r="W1" s="257" t="s">
        <v>9</v>
      </c>
      <c r="X1" s="257" t="s">
        <v>4</v>
      </c>
      <c r="Y1" s="258" t="s">
        <v>5</v>
      </c>
      <c r="Z1" s="257" t="s">
        <v>11</v>
      </c>
      <c r="AA1" s="257" t="s">
        <v>16</v>
      </c>
      <c r="AB1" s="257" t="s">
        <v>10</v>
      </c>
      <c r="AC1" s="8"/>
      <c r="AD1" s="80" t="s">
        <v>0</v>
      </c>
      <c r="AE1" s="82" t="s">
        <v>278</v>
      </c>
      <c r="AF1" s="8"/>
    </row>
    <row r="2" spans="1:32" x14ac:dyDescent="0.2">
      <c r="A2" s="9"/>
      <c r="B2" s="251">
        <v>2000</v>
      </c>
      <c r="C2" s="259" t="s">
        <v>41</v>
      </c>
      <c r="D2" s="250">
        <f>(S2-V2)/(Q2-V2-X2+AB2)</f>
        <v>0.23717948717948717</v>
      </c>
      <c r="E2" s="250">
        <f>Y2/P2</f>
        <v>0.24357405140758873</v>
      </c>
      <c r="F2" s="250">
        <f>(T2+U2+V2)/S2</f>
        <v>0.28125</v>
      </c>
      <c r="G2" s="250">
        <f>(Y2+R2)/P2</f>
        <v>0.29742962056303551</v>
      </c>
      <c r="H2" s="250">
        <f>(Y2/Q2)+((S2+W2+Z2)/(Q2+W2+Z2+AB2))</f>
        <v>0.47261151584867073</v>
      </c>
      <c r="I2" s="250">
        <f>V2/Y2</f>
        <v>8.5427135678391955E-2</v>
      </c>
      <c r="J2" s="250">
        <f>(AA2+AB2)/Y2</f>
        <v>1.507537688442211E-2</v>
      </c>
      <c r="K2" s="250">
        <f>X2/P2</f>
        <v>0.34761321909424725</v>
      </c>
      <c r="L2" s="250">
        <f>(W2+Z2)/P2</f>
        <v>5.6303549571603426E-2</v>
      </c>
      <c r="M2" s="260">
        <f>(1-D2*0.7635+1-E2*0.7562+1-F2*0.75+1-G2*0.7248+1-H2*0.7021+1-I2*0.6285+J2*0.5884+K2*0.5276+1-L2*0.3663)/11.068</f>
        <v>0.54159232659681733</v>
      </c>
      <c r="N2" s="266">
        <f>M2/0.4815*100</f>
        <v>112.48023397649374</v>
      </c>
      <c r="O2" s="287">
        <f>(N2-100)/100*P2*0.6611</f>
        <v>67.408077510796275</v>
      </c>
      <c r="P2" s="261">
        <v>817</v>
      </c>
      <c r="Q2" s="261">
        <f>P2-W2-Z2-AA2-AB2</f>
        <v>768</v>
      </c>
      <c r="R2" s="261">
        <v>44</v>
      </c>
      <c r="S2" s="261">
        <v>128</v>
      </c>
      <c r="T2" s="261">
        <v>18</v>
      </c>
      <c r="U2" s="261">
        <v>1</v>
      </c>
      <c r="V2" s="261">
        <v>17</v>
      </c>
      <c r="W2" s="261">
        <v>32</v>
      </c>
      <c r="X2" s="261">
        <v>284</v>
      </c>
      <c r="Y2" s="261">
        <f>S2+T2+U2*2+V2*3</f>
        <v>199</v>
      </c>
      <c r="Z2" s="261">
        <v>14</v>
      </c>
      <c r="AA2" s="261">
        <v>2</v>
      </c>
      <c r="AB2" s="261">
        <v>1</v>
      </c>
      <c r="AC2" s="9"/>
      <c r="AD2" s="6">
        <v>2021</v>
      </c>
      <c r="AE2" s="84">
        <v>0.4908866263541139</v>
      </c>
      <c r="AF2" s="9"/>
    </row>
    <row r="3" spans="1:32" x14ac:dyDescent="0.2">
      <c r="A3" s="9"/>
      <c r="B3" s="251">
        <v>1964</v>
      </c>
      <c r="C3" s="259" t="s">
        <v>465</v>
      </c>
      <c r="D3" s="250">
        <f>(S3-V3)/(Q3-V3-X3+AB3)</f>
        <v>0.2391304347826087</v>
      </c>
      <c r="E3" s="250">
        <f>Y3/P3</f>
        <v>0.22232387923147301</v>
      </c>
      <c r="F3" s="291">
        <f>(T3+U3+V3)/S3</f>
        <v>0.15979381443298968</v>
      </c>
      <c r="G3" s="250">
        <f>(Y3+R3)/P3</f>
        <v>0.27355901189387011</v>
      </c>
      <c r="H3" s="250">
        <f>(Y3/Q3)+((S3+W3+Z3)/(Q3+W3+Z3+AB3))</f>
        <v>0.50461440228084364</v>
      </c>
      <c r="I3" s="250">
        <f>V3/Y3</f>
        <v>2.8806584362139918E-2</v>
      </c>
      <c r="J3" s="250">
        <f>(AA3+AB3)/Y3</f>
        <v>4.5267489711934158E-2</v>
      </c>
      <c r="K3" s="250">
        <f>X3/P3</f>
        <v>0.18938700823421775</v>
      </c>
      <c r="L3" s="250">
        <f>(W3+Z3)/P3</f>
        <v>8.0512351326623974E-2</v>
      </c>
      <c r="M3" s="260">
        <f>(1-D3*0.7635+1-E3*0.7562+1-F3*0.75+1-G3*0.7248+1-H3*0.7021+1-I3*0.6285+J3*0.5884+K3*0.5276+1-L3*0.3663)/11.068</f>
        <v>0.54714955321739867</v>
      </c>
      <c r="N3" s="266">
        <f>M3/0.5021*100</f>
        <v>108.97222728886649</v>
      </c>
      <c r="O3" s="286">
        <f>(N3-100)/100*P3*0.6611</f>
        <v>64.831726305119133</v>
      </c>
      <c r="P3" s="261">
        <v>1093</v>
      </c>
      <c r="Q3" s="261">
        <f>P3-W3-Z3-AA3-AB3</f>
        <v>994</v>
      </c>
      <c r="R3" s="261">
        <v>56</v>
      </c>
      <c r="S3" s="261">
        <v>194</v>
      </c>
      <c r="T3" s="261">
        <v>20</v>
      </c>
      <c r="U3" s="261">
        <v>4</v>
      </c>
      <c r="V3" s="261">
        <v>7</v>
      </c>
      <c r="W3" s="261">
        <v>86</v>
      </c>
      <c r="X3" s="261">
        <v>207</v>
      </c>
      <c r="Y3" s="261">
        <f>S3+T3+U3*2+V3*3</f>
        <v>243</v>
      </c>
      <c r="Z3" s="261">
        <v>2</v>
      </c>
      <c r="AA3" s="261">
        <v>9</v>
      </c>
      <c r="AB3" s="261">
        <v>2</v>
      </c>
      <c r="AC3" s="9"/>
      <c r="AD3" s="6">
        <v>2020</v>
      </c>
      <c r="AE3" s="86">
        <v>0.48538866889337956</v>
      </c>
      <c r="AF3" s="9"/>
    </row>
    <row r="4" spans="1:32" x14ac:dyDescent="0.2">
      <c r="A4" s="9"/>
      <c r="B4" s="251">
        <v>1985</v>
      </c>
      <c r="C4" s="259" t="s">
        <v>447</v>
      </c>
      <c r="D4" s="250">
        <f>(S4-V4)/(Q4-V4-X4+AB4)</f>
        <v>0.26166902404526166</v>
      </c>
      <c r="E4" s="250">
        <f>Y4/P4</f>
        <v>0.24976525821596243</v>
      </c>
      <c r="F4" s="250">
        <f>(T4+U4+V4)/S4</f>
        <v>0.19696969696969696</v>
      </c>
      <c r="G4" s="250">
        <f>(Y4+R4)/P4</f>
        <v>0.29765258215962442</v>
      </c>
      <c r="H4" s="250">
        <f>(Y4/Q4)+((S4+W4+Z4)/(Q4+W4+Z4+AB4))</f>
        <v>0.5237900962866342</v>
      </c>
      <c r="I4" s="250">
        <f>V4/Y4</f>
        <v>4.8872180451127817E-2</v>
      </c>
      <c r="J4" s="250">
        <f>(AA4+AB4)/Y4</f>
        <v>3.007518796992481E-2</v>
      </c>
      <c r="K4" s="250">
        <f>X4/P4</f>
        <v>0.25164319248826289</v>
      </c>
      <c r="L4" s="250">
        <f>(W4+Z4)/P4</f>
        <v>6.6666666666666666E-2</v>
      </c>
      <c r="M4" s="260">
        <f>(1-D4*0.7635+1-E4*0.7562+1-F4*0.75+1-G4*0.7248+1-H4*0.7021+1-I4*0.6285+J4*0.5884+K4*0.5276+1-L4*0.3663)/11.068</f>
        <v>0.5398853762688739</v>
      </c>
      <c r="N4" s="266">
        <f>M4/0.4964*100</f>
        <v>108.76014832169093</v>
      </c>
      <c r="O4" s="286">
        <f>(N4-100)/100*P4*0.6611</f>
        <v>61.67770769075419</v>
      </c>
      <c r="P4" s="261">
        <v>1065</v>
      </c>
      <c r="Q4" s="261">
        <f>P4-W4-Z4-AA4-AB4</f>
        <v>986</v>
      </c>
      <c r="R4" s="261">
        <v>51</v>
      </c>
      <c r="S4" s="261">
        <v>198</v>
      </c>
      <c r="T4" s="261">
        <v>23</v>
      </c>
      <c r="U4" s="261">
        <v>3</v>
      </c>
      <c r="V4" s="261">
        <v>13</v>
      </c>
      <c r="W4" s="261">
        <v>69</v>
      </c>
      <c r="X4" s="261">
        <v>268</v>
      </c>
      <c r="Y4" s="261">
        <f>S4+T4+U4*2+V4*3</f>
        <v>266</v>
      </c>
      <c r="Z4" s="261">
        <v>2</v>
      </c>
      <c r="AA4" s="261">
        <v>6</v>
      </c>
      <c r="AB4" s="261">
        <v>2</v>
      </c>
      <c r="AC4" s="9"/>
      <c r="AD4" s="6">
        <v>2019</v>
      </c>
      <c r="AE4" s="86">
        <v>0.48187723667770382</v>
      </c>
      <c r="AF4" s="9"/>
    </row>
    <row r="5" spans="1:32" x14ac:dyDescent="0.2">
      <c r="A5" s="9"/>
      <c r="B5" s="251">
        <v>1994</v>
      </c>
      <c r="C5" s="259" t="s">
        <v>44</v>
      </c>
      <c r="D5" s="250">
        <f>(S5-V5)/(Q5-V5-X5+AB5)</f>
        <v>0.25569176882661998</v>
      </c>
      <c r="E5" s="250">
        <f>Y5/P5</f>
        <v>0.24289405684754523</v>
      </c>
      <c r="F5" s="250">
        <f>(T5+U5+V5)/S5</f>
        <v>0.18666666666666668</v>
      </c>
      <c r="G5" s="250">
        <f>(Y5+R5)/P5</f>
        <v>0.29974160206718348</v>
      </c>
      <c r="H5" s="250">
        <f>(Y5/Q5)+((S5+W5+Z5)/(Q5+W5+Z5+AB5))</f>
        <v>0.50244275137741046</v>
      </c>
      <c r="I5" s="291">
        <f>V5/Y5</f>
        <v>2.1276595744680851E-2</v>
      </c>
      <c r="J5" s="250">
        <f>(AA5+AB5)/Y5</f>
        <v>5.8510638297872342E-2</v>
      </c>
      <c r="K5" s="250">
        <f>X5/P5</f>
        <v>0.20155038759689922</v>
      </c>
      <c r="L5" s="250">
        <f>(W5+Z5)/P5</f>
        <v>4.7803617571059429E-2</v>
      </c>
      <c r="M5" s="260">
        <f>(1-D5*0.7635+1-E5*0.7562+1-F5*0.75+1-G5*0.7248+1-H5*0.7021+1-I5*0.6285+J5*0.5884+K5*0.5276+1-L5*0.3663)/11.068</f>
        <v>0.54399782420682752</v>
      </c>
      <c r="N5" s="266">
        <f>M5/0.486*100</f>
        <v>111.93370868453241</v>
      </c>
      <c r="O5" s="286">
        <f>(N5-100)/100*P5*0.6611</f>
        <v>61.063761039805449</v>
      </c>
      <c r="P5" s="261">
        <v>774</v>
      </c>
      <c r="Q5" s="261">
        <f>P5-W5-Z5-AA5-AB5</f>
        <v>726</v>
      </c>
      <c r="R5" s="261">
        <v>44</v>
      </c>
      <c r="S5" s="261">
        <v>150</v>
      </c>
      <c r="T5" s="261">
        <v>22</v>
      </c>
      <c r="U5" s="261">
        <v>2</v>
      </c>
      <c r="V5" s="261">
        <v>4</v>
      </c>
      <c r="W5" s="261">
        <v>31</v>
      </c>
      <c r="X5" s="261">
        <v>156</v>
      </c>
      <c r="Y5" s="261">
        <f>S5+T5+U5*2+V5*3</f>
        <v>188</v>
      </c>
      <c r="Z5" s="261">
        <v>6</v>
      </c>
      <c r="AA5" s="261">
        <v>6</v>
      </c>
      <c r="AB5" s="261">
        <v>5</v>
      </c>
      <c r="AC5" s="9"/>
      <c r="AD5" s="6">
        <v>2018</v>
      </c>
      <c r="AE5" s="86">
        <v>0.48978650630355836</v>
      </c>
      <c r="AF5" s="9"/>
    </row>
    <row r="6" spans="1:32" x14ac:dyDescent="0.2">
      <c r="A6" s="9"/>
      <c r="B6" s="251">
        <v>1997</v>
      </c>
      <c r="C6" s="259" t="s">
        <v>41</v>
      </c>
      <c r="D6" s="250">
        <f>(S6-V6)/(Q6-V6-X6+AB6)</f>
        <v>0.26247689463955637</v>
      </c>
      <c r="E6" s="250">
        <f>Y6/P6</f>
        <v>0.25131995776135163</v>
      </c>
      <c r="F6" s="250">
        <f>(T6+U6+V6)/S6</f>
        <v>0.27848101265822783</v>
      </c>
      <c r="G6" s="250">
        <f>(Y6+R6)/P6</f>
        <v>0.31995776135163673</v>
      </c>
      <c r="H6" s="250">
        <f>(Y6/Q6)+((S6+W6+Z6)/(Q6+W6+Z6+AB6))</f>
        <v>0.52588971518713057</v>
      </c>
      <c r="I6" s="250">
        <f>V6/Y6</f>
        <v>6.7226890756302518E-2</v>
      </c>
      <c r="J6" s="250">
        <f>(AA6+AB6)/Y6</f>
        <v>4.2016806722689079E-2</v>
      </c>
      <c r="K6" s="250">
        <f>X6/P6</f>
        <v>0.32206969376979938</v>
      </c>
      <c r="L6" s="250">
        <f>(W6+Z6)/P6</f>
        <v>8.0253431890179514E-2</v>
      </c>
      <c r="M6" s="260">
        <f>(1-D6*0.7635+1-E6*0.7562+1-F6*0.75+1-G6*0.7248+1-H6*0.7021+1-I6*0.6285+J6*0.5884+K6*0.5276+1-L6*0.3663)/11.068</f>
        <v>0.53510617559597129</v>
      </c>
      <c r="N6" s="266">
        <f>M6/0.4876*100</f>
        <v>109.74285799753309</v>
      </c>
      <c r="O6" s="286">
        <f>(N6-100)/100*P6*0.6611</f>
        <v>60.996302407941641</v>
      </c>
      <c r="P6" s="261">
        <v>947</v>
      </c>
      <c r="Q6" s="261">
        <f>P6-W6-Z6-AA6-AB6</f>
        <v>861</v>
      </c>
      <c r="R6" s="261">
        <v>65</v>
      </c>
      <c r="S6" s="261">
        <v>158</v>
      </c>
      <c r="T6" s="261">
        <v>24</v>
      </c>
      <c r="U6" s="261">
        <v>4</v>
      </c>
      <c r="V6" s="261">
        <v>16</v>
      </c>
      <c r="W6" s="261">
        <v>67</v>
      </c>
      <c r="X6" s="261">
        <v>305</v>
      </c>
      <c r="Y6" s="261">
        <f>S6+T6+U6*2+V6*3</f>
        <v>238</v>
      </c>
      <c r="Z6" s="261">
        <v>9</v>
      </c>
      <c r="AA6" s="261">
        <v>9</v>
      </c>
      <c r="AB6" s="261">
        <v>1</v>
      </c>
      <c r="AC6" s="9"/>
      <c r="AD6" s="6">
        <v>2017</v>
      </c>
      <c r="AE6" s="86">
        <v>0.48492651148451477</v>
      </c>
      <c r="AF6" s="9"/>
    </row>
    <row r="7" spans="1:32" x14ac:dyDescent="0.2">
      <c r="A7" s="9"/>
      <c r="B7" s="251">
        <v>1995</v>
      </c>
      <c r="C7" s="259" t="s">
        <v>44</v>
      </c>
      <c r="D7" s="250">
        <f>(S7-V7)/(Q7-V7-X7+AB7)</f>
        <v>0.24821428571428572</v>
      </c>
      <c r="E7" s="250">
        <f>Y7/P7</f>
        <v>0.24585987261146497</v>
      </c>
      <c r="F7" s="250">
        <f>(T7+U7+V7)/S7</f>
        <v>0.20408163265306123</v>
      </c>
      <c r="G7" s="250">
        <f>(Y7+R7)/P7</f>
        <v>0.29554140127388534</v>
      </c>
      <c r="H7" s="250">
        <f>(Y7/Q7)+((S7+W7+Z7)/(Q7+W7+Z7+AB7))</f>
        <v>0.4822481944980429</v>
      </c>
      <c r="I7" s="250">
        <f>V7/Y7</f>
        <v>4.145077720207254E-2</v>
      </c>
      <c r="J7" s="250">
        <f>(AA7+AB7)/Y7</f>
        <v>5.181347150259067E-2</v>
      </c>
      <c r="K7" s="250">
        <f>X7/P7</f>
        <v>0.23057324840764332</v>
      </c>
      <c r="L7" s="250">
        <f>(W7+Z7)/P7</f>
        <v>3.4394904458598725E-2</v>
      </c>
      <c r="M7" s="260">
        <f>(1-D7*0.7635+1-E7*0.7562+1-F7*0.75+1-G7*0.7248+1-H7*0.7021+1-I7*0.6285+J7*0.5884+K7*0.5276+1-L7*0.3663)/11.068</f>
        <v>0.54501263943038303</v>
      </c>
      <c r="N7" s="266">
        <f>M7/0.4881*100</f>
        <v>111.66003676098812</v>
      </c>
      <c r="O7" s="286">
        <f>(N7-100)/100*P7*0.6611</f>
        <v>60.511334876110581</v>
      </c>
      <c r="P7" s="261">
        <v>785</v>
      </c>
      <c r="Q7" s="261">
        <f>P7-W7-Z7-AA7-AB7</f>
        <v>748</v>
      </c>
      <c r="R7" s="261">
        <v>39</v>
      </c>
      <c r="S7" s="261">
        <v>147</v>
      </c>
      <c r="T7" s="261">
        <v>22</v>
      </c>
      <c r="U7" s="261">
        <v>0</v>
      </c>
      <c r="V7" s="261">
        <v>8</v>
      </c>
      <c r="W7" s="261">
        <v>23</v>
      </c>
      <c r="X7" s="261">
        <v>181</v>
      </c>
      <c r="Y7" s="261">
        <f>S7+T7+U7*2+V7*3</f>
        <v>193</v>
      </c>
      <c r="Z7" s="261">
        <v>4</v>
      </c>
      <c r="AA7" s="261">
        <v>9</v>
      </c>
      <c r="AB7" s="261">
        <v>1</v>
      </c>
      <c r="AC7" s="9"/>
      <c r="AD7" s="6">
        <v>2016</v>
      </c>
      <c r="AE7" s="86">
        <v>0.48797459203146881</v>
      </c>
      <c r="AF7" s="9"/>
    </row>
    <row r="8" spans="1:32" x14ac:dyDescent="0.2">
      <c r="A8" s="9"/>
      <c r="B8" s="251">
        <v>1997</v>
      </c>
      <c r="C8" s="259" t="s">
        <v>368</v>
      </c>
      <c r="D8" s="250">
        <f>(S8-V8)/(Q8-V8-X8+AB8)</f>
        <v>0.29635258358662614</v>
      </c>
      <c r="E8" s="250">
        <f>Y8/P8</f>
        <v>0.26628352490421459</v>
      </c>
      <c r="F8" s="250">
        <f>(T8+U8+V8)/S8</f>
        <v>0.25980392156862747</v>
      </c>
      <c r="G8" s="250">
        <f>(Y8+R8)/P8</f>
        <v>0.32854406130268199</v>
      </c>
      <c r="H8" s="250">
        <f>(Y8/Q8)+((S8+W8+Z8)/(Q8+W8+Z8+AB8))</f>
        <v>0.56383086783670899</v>
      </c>
      <c r="I8" s="250">
        <f>V8/Y8</f>
        <v>3.237410071942446E-2</v>
      </c>
      <c r="J8" s="250">
        <f>(AA8+AB8)/Y8</f>
        <v>2.5179856115107913E-2</v>
      </c>
      <c r="K8" s="250">
        <f>X8/P8</f>
        <v>0.27969348659003829</v>
      </c>
      <c r="L8" s="250">
        <f>(W8+Z8)/P8</f>
        <v>7.662835249042145E-2</v>
      </c>
      <c r="M8" s="260">
        <f>(1-D8*0.7635+1-E8*0.7562+1-F8*0.75+1-G8*0.7248+1-H8*0.7021+1-I8*0.6285+J8*0.5884+K8*0.5276+1-L8*0.3663)/11.068</f>
        <v>0.52922749320797535</v>
      </c>
      <c r="N8" s="266">
        <f>M8/0.4876*100</f>
        <v>108.53722174076607</v>
      </c>
      <c r="O8" s="286">
        <f>(N8-100)/100*P8*0.6611</f>
        <v>58.922914137045495</v>
      </c>
      <c r="P8" s="261">
        <v>1044</v>
      </c>
      <c r="Q8" s="261">
        <f>P8-W8-Z8-AA8-AB8</f>
        <v>957</v>
      </c>
      <c r="R8" s="261">
        <v>65</v>
      </c>
      <c r="S8" s="261">
        <v>204</v>
      </c>
      <c r="T8" s="261">
        <v>41</v>
      </c>
      <c r="U8" s="261">
        <v>3</v>
      </c>
      <c r="V8" s="261">
        <v>9</v>
      </c>
      <c r="W8" s="261">
        <v>68</v>
      </c>
      <c r="X8" s="261">
        <v>292</v>
      </c>
      <c r="Y8" s="261">
        <f>S8+T8+U8*2+V8*3</f>
        <v>278</v>
      </c>
      <c r="Z8" s="261">
        <v>12</v>
      </c>
      <c r="AA8" s="261">
        <v>5</v>
      </c>
      <c r="AB8" s="261">
        <v>2</v>
      </c>
      <c r="AC8" s="9"/>
      <c r="AD8" s="6">
        <v>2015</v>
      </c>
      <c r="AE8" s="86">
        <v>0.49225287184729749</v>
      </c>
      <c r="AF8" s="9"/>
    </row>
    <row r="9" spans="1:32" x14ac:dyDescent="0.2">
      <c r="A9" s="9"/>
      <c r="B9" s="251">
        <v>1968</v>
      </c>
      <c r="C9" s="259" t="s">
        <v>139</v>
      </c>
      <c r="D9" s="250">
        <f>(S9-V9)/(Q9-V9-X9+AB9)</f>
        <v>0.23433583959899748</v>
      </c>
      <c r="E9" s="250">
        <f>Y9/P9</f>
        <v>0.21877691645133507</v>
      </c>
      <c r="F9" s="250">
        <f>(T9+U9+V9)/S9</f>
        <v>0.17171717171717171</v>
      </c>
      <c r="G9" s="250">
        <f>(Y9+R9)/P9</f>
        <v>0.26098191214470284</v>
      </c>
      <c r="H9" s="250">
        <f>(Y9/Q9)+((S9+W9+Z9)/(Q9+W9+Z9+AB9))</f>
        <v>0.46926336296115911</v>
      </c>
      <c r="I9" s="250">
        <f>V9/Y9</f>
        <v>4.3307086614173228E-2</v>
      </c>
      <c r="J9" s="250">
        <f>(AA9+AB9)/Y9</f>
        <v>6.6929133858267723E-2</v>
      </c>
      <c r="K9" s="250">
        <f>X9/P9</f>
        <v>0.23083548664944015</v>
      </c>
      <c r="L9" s="250">
        <f>(W9+Z9)/P9</f>
        <v>5.9431524547803614E-2</v>
      </c>
      <c r="M9" s="260">
        <f>(1-D9*0.7635+1-E9*0.7562+1-F9*0.75+1-G9*0.7248+1-H9*0.7021+1-I9*0.6285+J9*0.5884+K9*0.5276+1-L9*0.3663)/11.068</f>
        <v>0.55298244851281697</v>
      </c>
      <c r="N9" s="266">
        <f>M9/0.5146*100</f>
        <v>107.45869578562322</v>
      </c>
      <c r="O9" s="286">
        <f>(N9-100)/100*P9*0.6611</f>
        <v>57.248257330794686</v>
      </c>
      <c r="P9" s="261">
        <v>1161</v>
      </c>
      <c r="Q9" s="261">
        <f>P9-W9-Z9-AA9-AB9</f>
        <v>1075</v>
      </c>
      <c r="R9" s="261">
        <v>49</v>
      </c>
      <c r="S9" s="261">
        <v>198</v>
      </c>
      <c r="T9" s="261">
        <v>23</v>
      </c>
      <c r="U9" s="261">
        <v>0</v>
      </c>
      <c r="V9" s="261">
        <v>11</v>
      </c>
      <c r="W9" s="261">
        <v>62</v>
      </c>
      <c r="X9" s="261">
        <v>268</v>
      </c>
      <c r="Y9" s="261">
        <f>S9+T9+U9*2+V9*3</f>
        <v>254</v>
      </c>
      <c r="Z9" s="261">
        <v>7</v>
      </c>
      <c r="AA9" s="261">
        <v>15</v>
      </c>
      <c r="AB9" s="261">
        <v>2</v>
      </c>
      <c r="AC9" s="9"/>
      <c r="AD9" s="6">
        <v>2014</v>
      </c>
      <c r="AE9" s="86">
        <v>0.49810635608904663</v>
      </c>
      <c r="AF9" s="9"/>
    </row>
    <row r="10" spans="1:32" x14ac:dyDescent="0.2">
      <c r="A10" s="9"/>
      <c r="B10" s="251">
        <v>1963</v>
      </c>
      <c r="C10" s="259" t="s">
        <v>170</v>
      </c>
      <c r="D10" s="250">
        <f>(S10-V10)/(Q10-V10-X10+AB10)</f>
        <v>0.2413793103448276</v>
      </c>
      <c r="E10" s="250">
        <f>Y10/P10</f>
        <v>0.25454545454545452</v>
      </c>
      <c r="F10" s="250">
        <f>(T10+U10+V10)/S10</f>
        <v>0.24299065420560748</v>
      </c>
      <c r="G10" s="250">
        <f>(Y10+R10)/P10</f>
        <v>0.31074380165289256</v>
      </c>
      <c r="H10" s="250">
        <f>(Y10/Q10)+((S10+W10+Z10)/(Q10+W10+Z10+AB10))</f>
        <v>0.50110665798122322</v>
      </c>
      <c r="I10" s="250">
        <f>V10/Y10</f>
        <v>5.844155844155844E-2</v>
      </c>
      <c r="J10" s="250">
        <f>(AA10+AB10)/Y10</f>
        <v>4.5454545454545456E-2</v>
      </c>
      <c r="K10" s="250">
        <f>X10/P10</f>
        <v>0.2528925619834711</v>
      </c>
      <c r="L10" s="250">
        <f>(W10+Z10)/P10</f>
        <v>5.0413223140495865E-2</v>
      </c>
      <c r="M10" s="260">
        <f>(1-D10*0.7635+1-E10*0.7562+1-F10*0.75+1-G10*0.7248+1-H10*0.7021+1-I10*0.6285+J10*0.5884+K10*0.5276+1-L10*0.3663)/11.068</f>
        <v>0.5392932081943137</v>
      </c>
      <c r="N10" s="266">
        <f>M10/0.504*100</f>
        <v>107.00262067347495</v>
      </c>
      <c r="O10" s="286">
        <f>(N10-100)/100*P10*0.6611</f>
        <v>56.016133579534909</v>
      </c>
      <c r="P10" s="261">
        <v>1210</v>
      </c>
      <c r="Q10" s="261">
        <f>P10-W10-Z10-AA10-AB10</f>
        <v>1135</v>
      </c>
      <c r="R10" s="261">
        <v>68</v>
      </c>
      <c r="S10" s="261">
        <v>214</v>
      </c>
      <c r="T10" s="261">
        <v>28</v>
      </c>
      <c r="U10" s="261">
        <v>6</v>
      </c>
      <c r="V10" s="261">
        <v>18</v>
      </c>
      <c r="W10" s="261">
        <v>58</v>
      </c>
      <c r="X10" s="261">
        <v>306</v>
      </c>
      <c r="Y10" s="261">
        <f>S10+T10+U10*2+V10*3</f>
        <v>308</v>
      </c>
      <c r="Z10" s="261">
        <v>3</v>
      </c>
      <c r="AA10" s="261">
        <v>13</v>
      </c>
      <c r="AB10" s="261">
        <v>1</v>
      </c>
      <c r="AC10" s="9"/>
      <c r="AD10" s="6">
        <v>2013</v>
      </c>
      <c r="AE10" s="86">
        <v>0.49483637420466781</v>
      </c>
      <c r="AF10" s="9"/>
    </row>
    <row r="11" spans="1:32" x14ac:dyDescent="0.2">
      <c r="A11" s="9"/>
      <c r="B11" s="251">
        <v>2001</v>
      </c>
      <c r="C11" s="259" t="s">
        <v>40</v>
      </c>
      <c r="D11" s="250">
        <f>(S11-V11)/(Q11-V11-X11+AB11)</f>
        <v>0.32142857142857145</v>
      </c>
      <c r="E11" s="250">
        <f>Y11/P11</f>
        <v>0.27665995975855129</v>
      </c>
      <c r="F11" s="250">
        <f>(T11+U11+V11)/S11</f>
        <v>0.2983425414364641</v>
      </c>
      <c r="G11" s="250">
        <f>(Y11+R11)/P11</f>
        <v>0.35110663983903423</v>
      </c>
      <c r="H11" s="250">
        <f>(Y11/Q11)+((S11+W11+Z11)/(Q11+W11+Z11+AB11))</f>
        <v>0.58337900794738284</v>
      </c>
      <c r="I11" s="250">
        <f>V11/Y11</f>
        <v>6.9090909090909092E-2</v>
      </c>
      <c r="J11" s="250">
        <f>(AA11+AB11)/Y11</f>
        <v>5.4545454545454543E-2</v>
      </c>
      <c r="K11" s="250">
        <f>X11/P11</f>
        <v>0.37424547283702214</v>
      </c>
      <c r="L11" s="250">
        <f>(W11+Z11)/P11</f>
        <v>8.9537223340040245E-2</v>
      </c>
      <c r="M11" s="260">
        <f>(1-D11*0.7635+1-E11*0.7562+1-F11*0.75+1-G11*0.7248+1-H11*0.7021+1-I11*0.6285+J11*0.5884+K11*0.5276+1-L11*0.3663)/11.068</f>
        <v>0.5250158077053303</v>
      </c>
      <c r="N11" s="266">
        <f>M11/0.485*100</f>
        <v>108.25068200109904</v>
      </c>
      <c r="O11" s="286">
        <f>(N11-100)/100*P11*0.6611</f>
        <v>54.217987157010135</v>
      </c>
      <c r="P11" s="261">
        <v>994</v>
      </c>
      <c r="Q11" s="261">
        <f>P11-W11-Z11-AA11-AB11</f>
        <v>890</v>
      </c>
      <c r="R11" s="261">
        <v>74</v>
      </c>
      <c r="S11" s="261">
        <v>181</v>
      </c>
      <c r="T11" s="261">
        <v>33</v>
      </c>
      <c r="U11" s="261">
        <v>2</v>
      </c>
      <c r="V11" s="261">
        <v>19</v>
      </c>
      <c r="W11" s="261">
        <v>71</v>
      </c>
      <c r="X11" s="261">
        <v>372</v>
      </c>
      <c r="Y11" s="261">
        <f>S11+T11+U11*2+V11*3</f>
        <v>275</v>
      </c>
      <c r="Z11" s="261">
        <v>18</v>
      </c>
      <c r="AA11" s="261">
        <v>10</v>
      </c>
      <c r="AB11" s="261">
        <v>5</v>
      </c>
      <c r="AC11" s="9"/>
      <c r="AD11" s="6">
        <v>2012</v>
      </c>
      <c r="AE11" s="86">
        <v>0.49199292434674569</v>
      </c>
      <c r="AF11" s="9"/>
    </row>
    <row r="12" spans="1:32" x14ac:dyDescent="0.2">
      <c r="A12" s="9"/>
      <c r="B12" s="251">
        <v>2009</v>
      </c>
      <c r="C12" s="259" t="s">
        <v>426</v>
      </c>
      <c r="D12" s="250">
        <f>(S12-V12)/(Q12-V12-X12+AB12)</f>
        <v>0.28832116788321166</v>
      </c>
      <c r="E12" s="250">
        <f>Y12/P12</f>
        <v>0.26077348066298345</v>
      </c>
      <c r="F12" s="250">
        <f>(T12+U12+V12)/S12</f>
        <v>0.26785714285714285</v>
      </c>
      <c r="G12" s="250">
        <f>(Y12+R12)/P12</f>
        <v>0.33701657458563539</v>
      </c>
      <c r="H12" s="250">
        <f>(Y12/Q12)+((S12+W12+Z12)/(Q12+W12+Z12+AB12))</f>
        <v>0.56092293046380393</v>
      </c>
      <c r="I12" s="250">
        <f>V12/Y12</f>
        <v>4.2372881355932202E-2</v>
      </c>
      <c r="J12" s="250">
        <f>(AA12+AB12)/Y12</f>
        <v>7.2033898305084748E-2</v>
      </c>
      <c r="K12" s="250">
        <f>X12/P12</f>
        <v>0.28839779005524863</v>
      </c>
      <c r="L12" s="250">
        <f>(W12+Z12)/P12</f>
        <v>8.1767955801104977E-2</v>
      </c>
      <c r="M12" s="260">
        <f>(1-D12*0.7635+1-E12*0.7562+1-F12*0.75+1-G12*0.7248+1-H12*0.7021+1-I12*0.6285+J12*0.5884+K12*0.5276+1-L12*0.3663)/11.068</f>
        <v>0.53140981966176104</v>
      </c>
      <c r="N12" s="266">
        <f>M12/0.4877*100</f>
        <v>108.96243995525138</v>
      </c>
      <c r="O12" s="286">
        <f>(N12-100)/100*P12*0.6611</f>
        <v>53.621874942471045</v>
      </c>
      <c r="P12" s="261">
        <v>905</v>
      </c>
      <c r="Q12" s="261">
        <f>P12-W12-Z12-AA12-AB12</f>
        <v>814</v>
      </c>
      <c r="R12" s="261">
        <v>69</v>
      </c>
      <c r="S12" s="261">
        <v>168</v>
      </c>
      <c r="T12" s="261">
        <v>32</v>
      </c>
      <c r="U12" s="261">
        <v>3</v>
      </c>
      <c r="V12" s="261">
        <v>10</v>
      </c>
      <c r="W12" s="261">
        <v>68</v>
      </c>
      <c r="X12" s="261">
        <v>261</v>
      </c>
      <c r="Y12" s="261">
        <f>S12+T12+U12*2+V12*3</f>
        <v>236</v>
      </c>
      <c r="Z12" s="261">
        <v>6</v>
      </c>
      <c r="AA12" s="261">
        <v>12</v>
      </c>
      <c r="AB12" s="261">
        <v>5</v>
      </c>
      <c r="AC12" s="9"/>
      <c r="AD12" s="6">
        <v>2011</v>
      </c>
      <c r="AE12" s="86">
        <v>0.49387867646542005</v>
      </c>
      <c r="AF12" s="9"/>
    </row>
    <row r="13" spans="1:32" x14ac:dyDescent="0.2">
      <c r="A13" s="9"/>
      <c r="B13" s="251">
        <v>1965</v>
      </c>
      <c r="C13" s="259" t="s">
        <v>170</v>
      </c>
      <c r="D13" s="250">
        <f>(S13-V13)/(Q13-V13-X13+AB13)</f>
        <v>0.23749999999999999</v>
      </c>
      <c r="E13" s="250">
        <f>Y13/P13</f>
        <v>0.25983037779491136</v>
      </c>
      <c r="F13" s="250">
        <f>(T13+U13+V13)/S13</f>
        <v>0.28703703703703703</v>
      </c>
      <c r="G13" s="250">
        <f>(Y13+R13)/P13</f>
        <v>0.32922127987663841</v>
      </c>
      <c r="H13" s="250">
        <f>(Y13/Q13)+((S13+W13+Z13)/(Q13+W13+Z13+AB13))</f>
        <v>0.50708238001059969</v>
      </c>
      <c r="I13" s="250">
        <f>V13/Y13</f>
        <v>7.71513353115727E-2</v>
      </c>
      <c r="J13" s="250">
        <f>(AA13+AB13)/Y13</f>
        <v>4.7477744807121663E-2</v>
      </c>
      <c r="K13" s="250">
        <f>X13/P13</f>
        <v>0.29452582883577488</v>
      </c>
      <c r="L13" s="250">
        <f>(W13+Z13)/P13</f>
        <v>5.8596761757902856E-2</v>
      </c>
      <c r="M13" s="260">
        <f>(1-D13*0.7635+1-E13*0.7562+1-F13*0.75+1-G13*0.7248+1-H13*0.7021+1-I13*0.6285+J13*0.5884+K13*0.5276+1-L13*0.3663)/11.068</f>
        <v>0.53538482491296557</v>
      </c>
      <c r="N13" s="266">
        <f>M13/0.5039*100</f>
        <v>106.24822879796896</v>
      </c>
      <c r="O13" s="286">
        <f>(N13-100)/100*P13*0.6611</f>
        <v>53.575231636634541</v>
      </c>
      <c r="P13" s="261">
        <v>1297</v>
      </c>
      <c r="Q13" s="261">
        <f>P13-W13-Z13-AA13-AB13</f>
        <v>1205</v>
      </c>
      <c r="R13" s="261">
        <v>90</v>
      </c>
      <c r="S13" s="261">
        <v>216</v>
      </c>
      <c r="T13" s="261">
        <v>29</v>
      </c>
      <c r="U13" s="261">
        <v>7</v>
      </c>
      <c r="V13" s="261">
        <v>26</v>
      </c>
      <c r="W13" s="261">
        <v>71</v>
      </c>
      <c r="X13" s="261">
        <v>382</v>
      </c>
      <c r="Y13" s="261">
        <f>S13+T13+U13*2+V13*3</f>
        <v>337</v>
      </c>
      <c r="Z13" s="261">
        <v>5</v>
      </c>
      <c r="AA13" s="261">
        <v>13</v>
      </c>
      <c r="AB13" s="261">
        <v>3</v>
      </c>
      <c r="AC13" s="9"/>
      <c r="AD13" s="6">
        <v>2010</v>
      </c>
      <c r="AE13" s="86">
        <v>0.49239055418686745</v>
      </c>
      <c r="AF13" s="9"/>
    </row>
    <row r="14" spans="1:32" x14ac:dyDescent="0.2">
      <c r="A14" s="9"/>
      <c r="B14" s="251">
        <v>2018</v>
      </c>
      <c r="C14" s="259" t="s">
        <v>416</v>
      </c>
      <c r="D14" s="250">
        <f>(S14-V14)/(Q14-V14-X14+AB14)</f>
        <v>0.28286852589641437</v>
      </c>
      <c r="E14" s="250">
        <f>Y14/P14</f>
        <v>0.25748502994011974</v>
      </c>
      <c r="F14" s="250">
        <f>(T14+U14+V14)/S14</f>
        <v>0.26315789473684209</v>
      </c>
      <c r="G14" s="250">
        <f>(Y14+R14)/P14</f>
        <v>0.31497005988023952</v>
      </c>
      <c r="H14" s="250">
        <f>(Y14/Q14)+((S14+W14+Z14)/(Q14+W14+Z14+AB14))</f>
        <v>0.52105224028548769</v>
      </c>
      <c r="I14" s="250">
        <f>V14/Y14</f>
        <v>4.6511627906976744E-2</v>
      </c>
      <c r="J14" s="250">
        <f>(AA14+AB14)/Y14</f>
        <v>3.7209302325581395E-2</v>
      </c>
      <c r="K14" s="250">
        <f>X14/P14</f>
        <v>0.32215568862275451</v>
      </c>
      <c r="L14" s="250">
        <f>(W14+Z14)/P14</f>
        <v>6.1077844311377243E-2</v>
      </c>
      <c r="M14" s="260">
        <f>(1-D14*0.7635+1-E14*0.7562+1-F14*0.75+1-G14*0.7248+1-H14*0.7021+1-I14*0.6285+J14*0.5884+K14*0.5276+1-L14*0.3663)/11.068</f>
        <v>0.53650958843278329</v>
      </c>
      <c r="N14" s="266">
        <f>M14/0.4898*100</f>
        <v>109.53646150118075</v>
      </c>
      <c r="O14" s="286">
        <f>(N14-100)/100*P14*0.6611</f>
        <v>52.643031731895469</v>
      </c>
      <c r="P14" s="261">
        <v>835</v>
      </c>
      <c r="Q14" s="261">
        <f>P14-W14-Z14-AA14-AB14</f>
        <v>776</v>
      </c>
      <c r="R14" s="261">
        <v>48</v>
      </c>
      <c r="S14" s="261">
        <v>152</v>
      </c>
      <c r="T14" s="261">
        <v>27</v>
      </c>
      <c r="U14" s="261">
        <v>3</v>
      </c>
      <c r="V14" s="261">
        <v>10</v>
      </c>
      <c r="W14" s="261">
        <v>46</v>
      </c>
      <c r="X14" s="261">
        <v>269</v>
      </c>
      <c r="Y14" s="261">
        <f>S14+T14+U14*2+V14*3</f>
        <v>215</v>
      </c>
      <c r="Z14" s="261">
        <v>5</v>
      </c>
      <c r="AA14" s="261">
        <v>3</v>
      </c>
      <c r="AB14" s="261">
        <v>5</v>
      </c>
      <c r="AC14" s="9"/>
      <c r="AD14" s="6">
        <v>2009</v>
      </c>
      <c r="AE14" s="86">
        <v>0.487731634571687</v>
      </c>
      <c r="AF14" s="9"/>
    </row>
    <row r="15" spans="1:32" x14ac:dyDescent="0.2">
      <c r="A15" s="9"/>
      <c r="B15" s="251">
        <v>1999</v>
      </c>
      <c r="C15" s="259" t="s">
        <v>40</v>
      </c>
      <c r="D15" s="250">
        <f>(S15-V15)/(Q15-V15-X15+AB15)</f>
        <v>0.29401993355481726</v>
      </c>
      <c r="E15" s="250">
        <f>Y15/P15</f>
        <v>0.30861909175162189</v>
      </c>
      <c r="F15" s="250">
        <f>(T15+U15+V15)/S15</f>
        <v>0.29951690821256038</v>
      </c>
      <c r="G15" s="250">
        <f>(Y15+R15)/P15</f>
        <v>0.38832252085264135</v>
      </c>
      <c r="H15" s="250">
        <f>(Y15/Q15)+((S15+W15+Z15)/(Q15+W15+Z15+AB15))</f>
        <v>0.6013939436520761</v>
      </c>
      <c r="I15" s="250">
        <f>V15/Y15</f>
        <v>9.0090090090090086E-2</v>
      </c>
      <c r="J15" s="250">
        <f>(AA15+AB15)/Y15</f>
        <v>2.1021021021021023E-2</v>
      </c>
      <c r="K15" s="250">
        <f>X15/P15</f>
        <v>0.33734939759036142</v>
      </c>
      <c r="L15" s="250">
        <f>(W15+Z15)/P15</f>
        <v>7.3215940685820199E-2</v>
      </c>
      <c r="M15" s="260">
        <f>(1-D15*0.7635+1-E15*0.7562+1-F15*0.75+1-G15*0.7248+1-H15*0.7021+1-I15*0.6285+J15*0.5884+K15*0.5276+1-L15*0.3663)/11.068</f>
        <v>0.5168701826598654</v>
      </c>
      <c r="N15" s="266">
        <f>M15/0.4826*100</f>
        <v>107.10115678820253</v>
      </c>
      <c r="O15" s="286">
        <f>(N15-100)/100*P15*0.6611</f>
        <v>50.65446158142467</v>
      </c>
      <c r="P15" s="261">
        <v>1079</v>
      </c>
      <c r="Q15" s="261">
        <f>P15-W15-Z15-AA15-AB15</f>
        <v>993</v>
      </c>
      <c r="R15" s="261">
        <v>86</v>
      </c>
      <c r="S15" s="261">
        <v>207</v>
      </c>
      <c r="T15" s="261">
        <v>28</v>
      </c>
      <c r="U15" s="261">
        <v>4</v>
      </c>
      <c r="V15" s="261">
        <v>30</v>
      </c>
      <c r="W15" s="261">
        <v>70</v>
      </c>
      <c r="X15" s="261">
        <v>364</v>
      </c>
      <c r="Y15" s="261">
        <f>S15+T15+U15*2+V15*3</f>
        <v>333</v>
      </c>
      <c r="Z15" s="261">
        <v>9</v>
      </c>
      <c r="AA15" s="261">
        <v>4</v>
      </c>
      <c r="AB15" s="261">
        <v>3</v>
      </c>
      <c r="AC15" s="9"/>
      <c r="AD15" s="6">
        <v>2008</v>
      </c>
      <c r="AE15" s="86">
        <v>0.48784953342865089</v>
      </c>
      <c r="AF15" s="9"/>
    </row>
    <row r="16" spans="1:32" x14ac:dyDescent="0.2">
      <c r="A16" s="9"/>
      <c r="B16" s="251">
        <v>2013</v>
      </c>
      <c r="C16" s="259" t="s">
        <v>341</v>
      </c>
      <c r="D16" s="250">
        <f>(S16-V16)/(Q16-V16-X16+AB16)</f>
        <v>0.25415282392026578</v>
      </c>
      <c r="E16" s="250">
        <f>Y16/P16</f>
        <v>0.2566079295154185</v>
      </c>
      <c r="F16" s="250">
        <f>(T16+U16+V16)/S16</f>
        <v>0.26829268292682928</v>
      </c>
      <c r="G16" s="250">
        <f>(Y16+R16)/P16</f>
        <v>0.31718061674008813</v>
      </c>
      <c r="H16" s="250">
        <f>(Y16/Q16)+((S16+W16+Z16)/(Q16+W16+Z16+AB16))</f>
        <v>0.52005542359461598</v>
      </c>
      <c r="I16" s="250">
        <f>V16/Y16</f>
        <v>4.7210300429184553E-2</v>
      </c>
      <c r="J16" s="250">
        <f>(AA16+AB16)/Y16</f>
        <v>4.7210300429184553E-2</v>
      </c>
      <c r="K16" s="250">
        <f>X16/P16</f>
        <v>0.25550660792951541</v>
      </c>
      <c r="L16" s="250">
        <f>(W16+Z16)/P16</f>
        <v>6.0572687224669602E-2</v>
      </c>
      <c r="M16" s="260">
        <f>(1-D16*0.7635+1-E16*0.7562+1-F16*0.75+1-G16*0.7248+1-H16*0.7021+1-I16*0.6285+J16*0.5884+K16*0.5276+1-L16*0.3663)/11.068</f>
        <v>0.53545255190542163</v>
      </c>
      <c r="N16" s="266">
        <f>M16/0.4948*100</f>
        <v>108.21595632688393</v>
      </c>
      <c r="O16" s="286">
        <f>(N16-100)/100*P16*0.6611</f>
        <v>49.318644047542911</v>
      </c>
      <c r="P16" s="261">
        <v>908</v>
      </c>
      <c r="Q16" s="261">
        <f>P16-W16-Z16-AA16-AB16</f>
        <v>842</v>
      </c>
      <c r="R16" s="261">
        <v>55</v>
      </c>
      <c r="S16" s="261">
        <v>164</v>
      </c>
      <c r="T16" s="261">
        <v>30</v>
      </c>
      <c r="U16" s="261">
        <v>3</v>
      </c>
      <c r="V16" s="261">
        <v>11</v>
      </c>
      <c r="W16" s="261">
        <v>52</v>
      </c>
      <c r="X16" s="261">
        <v>232</v>
      </c>
      <c r="Y16" s="261">
        <f>S16+T16+U16*2+V16*3</f>
        <v>233</v>
      </c>
      <c r="Z16" s="261">
        <v>3</v>
      </c>
      <c r="AA16" s="261">
        <v>8</v>
      </c>
      <c r="AB16" s="261">
        <v>3</v>
      </c>
      <c r="AC16" s="9"/>
      <c r="AD16" s="6">
        <v>2007</v>
      </c>
      <c r="AE16" s="86">
        <v>0.48593274358545985</v>
      </c>
      <c r="AF16" s="9"/>
    </row>
    <row r="17" spans="1:32" x14ac:dyDescent="0.2">
      <c r="A17" s="9"/>
      <c r="B17" s="251">
        <v>1971</v>
      </c>
      <c r="C17" s="259" t="s">
        <v>383</v>
      </c>
      <c r="D17" s="250">
        <f>(S17-V17)/(Q17-V17-X17+AB17)</f>
        <v>0.24173027989821882</v>
      </c>
      <c r="E17" s="250">
        <f>Y17/P17</f>
        <v>0.24855012427506215</v>
      </c>
      <c r="F17" s="250">
        <f>(T17+U17+V17)/S17</f>
        <v>0.23923444976076555</v>
      </c>
      <c r="G17" s="250">
        <f>(Y17+R17)/P17</f>
        <v>0.30903065451532724</v>
      </c>
      <c r="H17" s="250">
        <f>(Y17/Q17)+((S17+W17+Z17)/(Q17+W17+Z17+AB17))</f>
        <v>0.52323758091833317</v>
      </c>
      <c r="I17" s="250">
        <f>V17/Y17</f>
        <v>6.3333333333333339E-2</v>
      </c>
      <c r="J17" s="250">
        <f>(AA17+AB17)/Y17</f>
        <v>0.04</v>
      </c>
      <c r="K17" s="250">
        <f>X17/P17</f>
        <v>0.24937862468931235</v>
      </c>
      <c r="L17" s="250">
        <f>(W17+Z17)/P17</f>
        <v>7.6222038111019061E-2</v>
      </c>
      <c r="M17" s="260">
        <f>(1-D17*0.7635+1-E17*0.7562+1-F17*0.75+1-G17*0.7248+1-H17*0.7021+1-I17*0.6285+J17*0.5884+K17*0.5276+1-L17*0.3663)/11.068</f>
        <v>0.53705204154959141</v>
      </c>
      <c r="N17" s="266">
        <f>M17/0.506*100</f>
        <v>106.13676710466234</v>
      </c>
      <c r="O17" s="286">
        <f>(N17-100)/100*P17*0.6611</f>
        <v>48.968191966009734</v>
      </c>
      <c r="P17" s="261">
        <v>1207</v>
      </c>
      <c r="Q17" s="261">
        <f>P17-W17-Z17-AA17-AB17</f>
        <v>1103</v>
      </c>
      <c r="R17" s="261">
        <v>73</v>
      </c>
      <c r="S17" s="261">
        <v>209</v>
      </c>
      <c r="T17" s="261">
        <v>28</v>
      </c>
      <c r="U17" s="261">
        <v>3</v>
      </c>
      <c r="V17" s="261">
        <v>19</v>
      </c>
      <c r="W17" s="261">
        <v>88</v>
      </c>
      <c r="X17" s="261">
        <v>301</v>
      </c>
      <c r="Y17" s="261">
        <f>S17+T17+U17*2+V17*3</f>
        <v>300</v>
      </c>
      <c r="Z17" s="261">
        <v>4</v>
      </c>
      <c r="AA17" s="261">
        <v>9</v>
      </c>
      <c r="AB17" s="261">
        <v>3</v>
      </c>
      <c r="AC17" s="9"/>
      <c r="AD17" s="6">
        <v>2006</v>
      </c>
      <c r="AE17" s="86">
        <v>0.48333156827692997</v>
      </c>
      <c r="AF17" s="9"/>
    </row>
    <row r="18" spans="1:32" x14ac:dyDescent="0.2">
      <c r="A18" s="9"/>
      <c r="B18" s="251">
        <v>2015</v>
      </c>
      <c r="C18" s="259" t="s">
        <v>422</v>
      </c>
      <c r="D18" s="250">
        <f>(S18-V18)/(Q18-V18-X18+AB18)</f>
        <v>0.24734982332155478</v>
      </c>
      <c r="E18" s="250">
        <f>Y18/P18</f>
        <v>0.25287356321839083</v>
      </c>
      <c r="F18" s="250">
        <f>(T18+U18+V18)/S18</f>
        <v>0.30666666666666664</v>
      </c>
      <c r="G18" s="250">
        <f>(Y18+R18)/P18</f>
        <v>0.31264367816091954</v>
      </c>
      <c r="H18" s="250">
        <f>(Y18/Q18)+((S18+W18+Z18)/(Q18+W18+Z18+AB18))</f>
        <v>0.50683585685280064</v>
      </c>
      <c r="I18" s="250">
        <f>V18/Y18</f>
        <v>4.5454545454545456E-2</v>
      </c>
      <c r="J18" s="250">
        <f>(AA18+AB18)/Y18</f>
        <v>2.2727272727272728E-2</v>
      </c>
      <c r="K18" s="250">
        <f>X18/P18</f>
        <v>0.27126436781609198</v>
      </c>
      <c r="L18" s="250">
        <f>(W18+Z18)/P18</f>
        <v>6.2068965517241378E-2</v>
      </c>
      <c r="M18" s="260">
        <f>(1-D18*0.7635+1-E18*0.7562+1-F18*0.75+1-G18*0.7248+1-H18*0.7021+1-I18*0.6285+J18*0.5884+K18*0.5276+1-L18*0.3663)/11.068</f>
        <v>0.53421210627089</v>
      </c>
      <c r="N18" s="266">
        <f>M18/0.4923*100</f>
        <v>108.51352961017469</v>
      </c>
      <c r="O18" s="286">
        <f>(N18-100)/100*P18*0.6611</f>
        <v>48.966161499992417</v>
      </c>
      <c r="P18" s="261">
        <v>870</v>
      </c>
      <c r="Q18" s="261">
        <f>P18-W18-Z18-AA18-AB18</f>
        <v>811</v>
      </c>
      <c r="R18" s="261">
        <v>52</v>
      </c>
      <c r="S18" s="261">
        <v>150</v>
      </c>
      <c r="T18" s="261">
        <v>32</v>
      </c>
      <c r="U18" s="261">
        <v>4</v>
      </c>
      <c r="V18" s="261">
        <v>10</v>
      </c>
      <c r="W18" s="261">
        <v>48</v>
      </c>
      <c r="X18" s="261">
        <v>236</v>
      </c>
      <c r="Y18" s="261">
        <f>S18+T18+U18*2+V18*3</f>
        <v>220</v>
      </c>
      <c r="Z18" s="261">
        <v>6</v>
      </c>
      <c r="AA18" s="261">
        <v>4</v>
      </c>
      <c r="AB18" s="261">
        <v>1</v>
      </c>
      <c r="AC18" s="9"/>
      <c r="AD18" s="6">
        <v>2005</v>
      </c>
      <c r="AE18" s="86">
        <v>0.48725983089978531</v>
      </c>
      <c r="AF18" s="9"/>
    </row>
    <row r="19" spans="1:32" x14ac:dyDescent="0.2">
      <c r="A19" s="9"/>
      <c r="B19" s="251">
        <v>1966</v>
      </c>
      <c r="C19" s="259" t="s">
        <v>170</v>
      </c>
      <c r="D19" s="250">
        <f>(S19-V19)/(Q19-V19-X19+AB19)</f>
        <v>0.26117647058823529</v>
      </c>
      <c r="E19" s="250">
        <f>Y19/P19</f>
        <v>0.27158555729984302</v>
      </c>
      <c r="F19" s="250">
        <f>(T19+U19+V19)/S19</f>
        <v>0.25726141078838172</v>
      </c>
      <c r="G19" s="250">
        <f>(Y19+R19)/P19</f>
        <v>0.32967032967032966</v>
      </c>
      <c r="H19" s="250">
        <f>(Y19/Q19)+((S19+W19+Z19)/(Q19+W19+Z19+AB19))</f>
        <v>0.54549963906778665</v>
      </c>
      <c r="I19" s="250">
        <f>V19/Y19</f>
        <v>5.4913294797687862E-2</v>
      </c>
      <c r="J19" s="250">
        <f>(AA19+AB19)/Y19</f>
        <v>5.4913294797687862E-2</v>
      </c>
      <c r="K19" s="250">
        <f>X19/P19</f>
        <v>0.2488226059654631</v>
      </c>
      <c r="L19" s="250">
        <f>(W19+Z19)/P19</f>
        <v>6.043956043956044E-2</v>
      </c>
      <c r="M19" s="260">
        <f>(1-D19*0.7635+1-E19*0.7562+1-F19*0.75+1-G19*0.7248+1-H19*0.7021+1-I19*0.6285+J19*0.5884+K19*0.5276+1-L19*0.3663)/11.068</f>
        <v>0.53191815408808163</v>
      </c>
      <c r="N19" s="266">
        <f>M19/0.5027*100</f>
        <v>105.81224469625654</v>
      </c>
      <c r="O19" s="286">
        <f>(N19-100)/100*P19*0.6611</f>
        <v>48.953131101176844</v>
      </c>
      <c r="P19" s="261">
        <v>1274</v>
      </c>
      <c r="Q19" s="261">
        <f>P19-W19-Z19-AA19-AB19</f>
        <v>1178</v>
      </c>
      <c r="R19" s="261">
        <v>74</v>
      </c>
      <c r="S19" s="261">
        <v>241</v>
      </c>
      <c r="T19" s="261">
        <v>38</v>
      </c>
      <c r="U19" s="261">
        <v>5</v>
      </c>
      <c r="V19" s="261">
        <v>19</v>
      </c>
      <c r="W19" s="261">
        <v>77</v>
      </c>
      <c r="X19" s="261">
        <v>317</v>
      </c>
      <c r="Y19" s="261">
        <f>S19+T19+U19*2+V19*3</f>
        <v>346</v>
      </c>
      <c r="Z19" s="261">
        <v>0</v>
      </c>
      <c r="AA19" s="261">
        <v>11</v>
      </c>
      <c r="AB19" s="261">
        <v>8</v>
      </c>
      <c r="AC19" s="9"/>
      <c r="AD19" s="6">
        <v>2004</v>
      </c>
      <c r="AE19" s="86">
        <v>0.48462898203499583</v>
      </c>
      <c r="AF19" s="9"/>
    </row>
    <row r="20" spans="1:32" x14ac:dyDescent="0.2">
      <c r="A20" s="9"/>
      <c r="B20" s="251">
        <v>1986</v>
      </c>
      <c r="C20" s="259" t="s">
        <v>446</v>
      </c>
      <c r="D20" s="250">
        <f>(S20-V20)/(Q20-V20-X20+AB20)</f>
        <v>0.25</v>
      </c>
      <c r="E20" s="250">
        <f>Y20/P20</f>
        <v>0.26666666666666666</v>
      </c>
      <c r="F20" s="250">
        <f>(T20+U20+V20)/S20</f>
        <v>0.34615384615384615</v>
      </c>
      <c r="G20" s="250">
        <f>(Y20+R20)/P20</f>
        <v>0.3352112676056338</v>
      </c>
      <c r="H20" s="250">
        <f>(Y20/Q20)+((S20+W20+Z20)/(Q20+W20+Z20+AB20))</f>
        <v>0.53288066397531098</v>
      </c>
      <c r="I20" s="250">
        <f>V20/Y20</f>
        <v>5.9859154929577461E-2</v>
      </c>
      <c r="J20" s="250">
        <f>(AA20+AB20)/Y20</f>
        <v>4.9295774647887321E-2</v>
      </c>
      <c r="K20" s="250">
        <f>X20/P20</f>
        <v>0.28732394366197184</v>
      </c>
      <c r="L20" s="250">
        <f>(W20+Z20)/P20</f>
        <v>6.9483568075117366E-2</v>
      </c>
      <c r="M20" s="260">
        <f>(1-D20*0.7635+1-E20*0.7562+1-F20*0.75+1-G20*0.7248+1-H20*0.7021+1-I20*0.6285+J20*0.5884+K20*0.5276+1-L20*0.3663)/11.068</f>
        <v>0.52839574247681342</v>
      </c>
      <c r="N20" s="266">
        <f>M20/0.4953*100</f>
        <v>106.6819589091083</v>
      </c>
      <c r="O20" s="286">
        <f>(N20-100)/100*P20*0.6611</f>
        <v>47.045768320742468</v>
      </c>
      <c r="P20" s="261">
        <v>1065</v>
      </c>
      <c r="Q20" s="261">
        <f>P20-W20-Z20-AA20-AB20</f>
        <v>977</v>
      </c>
      <c r="R20" s="261">
        <v>73</v>
      </c>
      <c r="S20" s="261">
        <v>182</v>
      </c>
      <c r="T20" s="261">
        <v>41</v>
      </c>
      <c r="U20" s="261">
        <v>5</v>
      </c>
      <c r="V20" s="261">
        <v>17</v>
      </c>
      <c r="W20" s="261">
        <v>72</v>
      </c>
      <c r="X20" s="261">
        <v>306</v>
      </c>
      <c r="Y20" s="261">
        <f>S20+T20+U20*2+V20*3</f>
        <v>284</v>
      </c>
      <c r="Z20" s="261">
        <v>2</v>
      </c>
      <c r="AA20" s="261">
        <v>8</v>
      </c>
      <c r="AB20" s="261">
        <v>6</v>
      </c>
      <c r="AC20" s="9"/>
      <c r="AD20" s="6">
        <v>2003</v>
      </c>
      <c r="AE20" s="86">
        <v>0.48612495164162228</v>
      </c>
      <c r="AF20" s="9"/>
    </row>
    <row r="21" spans="1:32" x14ac:dyDescent="0.2">
      <c r="A21" s="9"/>
      <c r="B21" s="251">
        <v>1998</v>
      </c>
      <c r="C21" s="259" t="s">
        <v>368</v>
      </c>
      <c r="D21" s="250">
        <f>(S21-V21)/(Q21-V21-X21+AB21)</f>
        <v>0.27430555555555558</v>
      </c>
      <c r="E21" s="250">
        <f>Y21/P21</f>
        <v>0.26326742976066597</v>
      </c>
      <c r="F21" s="250">
        <f>(T21+U21+V21)/S21</f>
        <v>0.34911242603550297</v>
      </c>
      <c r="G21" s="250">
        <f>(Y21+R21)/P21</f>
        <v>0.34443288241415193</v>
      </c>
      <c r="H21" s="250">
        <f>(Y21/Q21)+((S21+W21+Z21)/(Q21+W21+Z21+AB21))</f>
        <v>0.57258068470447476</v>
      </c>
      <c r="I21" s="250">
        <f>V21/Y21</f>
        <v>4.3478260869565216E-2</v>
      </c>
      <c r="J21" s="250">
        <f>(AA21+AB21)/Y21</f>
        <v>3.9525691699604744E-2</v>
      </c>
      <c r="K21" s="250">
        <f>X21/P21</f>
        <v>0.28199791883454733</v>
      </c>
      <c r="L21" s="250">
        <f>(W21+Z21)/P21</f>
        <v>9.8855359001040588E-2</v>
      </c>
      <c r="M21" s="260">
        <f>(1-D21*0.7635+1-E21*0.7562+1-F21*0.75+1-G21*0.7248+1-H21*0.7021+1-I21*0.6285+J21*0.5884+K21*0.5276+1-L21*0.3663)/11.068</f>
        <v>0.52281341891321409</v>
      </c>
      <c r="N21" s="266">
        <f>M21/0.487*100</f>
        <v>107.35388478710762</v>
      </c>
      <c r="O21" s="286">
        <f>(N21-100)/100*P21*0.6611</f>
        <v>46.720487566793295</v>
      </c>
      <c r="P21" s="261">
        <v>961</v>
      </c>
      <c r="Q21" s="261">
        <f>P21-W21-Z21-AA21-AB21</f>
        <v>856</v>
      </c>
      <c r="R21" s="261">
        <v>78</v>
      </c>
      <c r="S21" s="261">
        <v>169</v>
      </c>
      <c r="T21" s="261">
        <v>45</v>
      </c>
      <c r="U21" s="261">
        <v>3</v>
      </c>
      <c r="V21" s="261">
        <v>11</v>
      </c>
      <c r="W21" s="261">
        <v>88</v>
      </c>
      <c r="X21" s="261">
        <v>271</v>
      </c>
      <c r="Y21" s="261">
        <f>S21+T21+U21*2+V21*3</f>
        <v>253</v>
      </c>
      <c r="Z21" s="261">
        <v>7</v>
      </c>
      <c r="AA21" s="261">
        <v>8</v>
      </c>
      <c r="AB21" s="261">
        <v>2</v>
      </c>
      <c r="AC21" s="9"/>
      <c r="AD21" s="6">
        <v>2002</v>
      </c>
      <c r="AE21" s="86">
        <v>0.48787575031582736</v>
      </c>
      <c r="AF21" s="9"/>
    </row>
    <row r="22" spans="1:32" x14ac:dyDescent="0.2">
      <c r="A22" s="9"/>
      <c r="B22" s="251">
        <v>1978</v>
      </c>
      <c r="C22" s="259" t="s">
        <v>455</v>
      </c>
      <c r="D22" s="250">
        <f>(S22-V22)/(Q22-V22-X22+AB22)</f>
        <v>0.24507042253521127</v>
      </c>
      <c r="E22" s="250">
        <f>Y22/P22</f>
        <v>0.25543992431409651</v>
      </c>
      <c r="F22" s="250">
        <f>(T22+U22+V22)/S22</f>
        <v>0.27807486631016043</v>
      </c>
      <c r="G22" s="250">
        <f>(Y22+R22)/P22</f>
        <v>0.31315042573320717</v>
      </c>
      <c r="H22" s="250">
        <f>(Y22/Q22)+((S22+W22+Z22)/(Q22+W22+Z22+AB22))</f>
        <v>0.52767991649170254</v>
      </c>
      <c r="I22" s="250">
        <f>V22/Y22</f>
        <v>4.8148148148148148E-2</v>
      </c>
      <c r="J22" s="250">
        <f>(AA22+AB22)/Y22</f>
        <v>5.5555555555555552E-2</v>
      </c>
      <c r="K22" s="250">
        <f>X22/P22</f>
        <v>0.23462630085146641</v>
      </c>
      <c r="L22" s="250">
        <f>(W22+Z22)/P22</f>
        <v>6.906338694418164E-2</v>
      </c>
      <c r="M22" s="260">
        <f>(1-D22*0.7635+1-E22*0.7562+1-F22*0.75+1-G22*0.7248+1-H22*0.7021+1-I22*0.6285+J22*0.5884+K22*0.5276+1-L22*0.3663)/11.068</f>
        <v>0.53439032430651712</v>
      </c>
      <c r="N22" s="266">
        <f>M22/0.5012*100</f>
        <v>106.62217164934501</v>
      </c>
      <c r="O22" s="286">
        <f>(N22-100)/100*P22*0.6611</f>
        <v>46.274589849927573</v>
      </c>
      <c r="P22" s="261">
        <v>1057</v>
      </c>
      <c r="Q22" s="261">
        <f>P22-W22-Z22-AA22-AB22</f>
        <v>969</v>
      </c>
      <c r="R22" s="261">
        <v>61</v>
      </c>
      <c r="S22" s="261">
        <v>187</v>
      </c>
      <c r="T22" s="261">
        <v>34</v>
      </c>
      <c r="U22" s="261">
        <v>5</v>
      </c>
      <c r="V22" s="261">
        <v>13</v>
      </c>
      <c r="W22" s="261">
        <v>72</v>
      </c>
      <c r="X22" s="261">
        <v>248</v>
      </c>
      <c r="Y22" s="261">
        <f>S22+T22+U22*2+V22*3</f>
        <v>270</v>
      </c>
      <c r="Z22" s="261">
        <v>1</v>
      </c>
      <c r="AA22" s="261">
        <v>13</v>
      </c>
      <c r="AB22" s="261">
        <v>2</v>
      </c>
      <c r="AC22" s="9"/>
      <c r="AD22" s="6">
        <v>2001</v>
      </c>
      <c r="AE22" s="86">
        <v>0.48496474467178197</v>
      </c>
      <c r="AF22" s="9"/>
    </row>
    <row r="23" spans="1:32" x14ac:dyDescent="0.2">
      <c r="A23" s="9"/>
      <c r="B23" s="251">
        <v>1992</v>
      </c>
      <c r="C23" s="259" t="s">
        <v>44</v>
      </c>
      <c r="D23" s="250">
        <f>(S23-V23)/(Q23-V23-X23+AB23)</f>
        <v>0.25661375661375663</v>
      </c>
      <c r="E23" s="250">
        <f>Y23/P23</f>
        <v>0.25259189443920832</v>
      </c>
      <c r="F23" s="250">
        <f>(T23+U23+V23)/S23</f>
        <v>0.23880597014925373</v>
      </c>
      <c r="G23" s="250">
        <f>(Y23+R23)/P23</f>
        <v>0.31668237511781339</v>
      </c>
      <c r="H23" s="250">
        <f>(Y23/Q23)+((S23+W23+Z23)/(Q23+W23+Z23+AB23))</f>
        <v>0.55192430770580414</v>
      </c>
      <c r="I23" s="250">
        <f>V23/Y23</f>
        <v>2.6119402985074626E-2</v>
      </c>
      <c r="J23" s="250">
        <f>(AA23+AB23)/Y23</f>
        <v>6.7164179104477612E-2</v>
      </c>
      <c r="K23" s="250">
        <f>X23/P23</f>
        <v>0.1875589066918002</v>
      </c>
      <c r="L23" s="250">
        <f>(W23+Z23)/P23</f>
        <v>7.9170593779453347E-2</v>
      </c>
      <c r="M23" s="260">
        <f>(1-D23*0.7635+1-E23*0.7562+1-F23*0.75+1-G23*0.7248+1-H23*0.7021+1-I23*0.6285+J23*0.5884+K23*0.5276+1-L23*0.3663)/11.068</f>
        <v>0.53397025077620419</v>
      </c>
      <c r="N23" s="266">
        <f>M23/0.5012*100</f>
        <v>106.53835809581089</v>
      </c>
      <c r="O23" s="286">
        <f>(N23-100)/100*P23*0.6611</f>
        <v>45.861815579061563</v>
      </c>
      <c r="P23" s="261">
        <v>1061</v>
      </c>
      <c r="Q23" s="261">
        <f>P23-W23-Z23-AA23-AB23</f>
        <v>959</v>
      </c>
      <c r="R23" s="261">
        <v>68</v>
      </c>
      <c r="S23" s="261">
        <v>201</v>
      </c>
      <c r="T23" s="261">
        <v>36</v>
      </c>
      <c r="U23" s="261">
        <v>5</v>
      </c>
      <c r="V23" s="261">
        <v>7</v>
      </c>
      <c r="W23" s="261">
        <v>70</v>
      </c>
      <c r="X23" s="261">
        <v>199</v>
      </c>
      <c r="Y23" s="261">
        <f>S23+T23+U23*2+V23*3</f>
        <v>268</v>
      </c>
      <c r="Z23" s="261">
        <v>14</v>
      </c>
      <c r="AA23" s="261">
        <v>15</v>
      </c>
      <c r="AB23" s="261">
        <v>3</v>
      </c>
      <c r="AC23" s="9"/>
      <c r="AD23" s="6">
        <v>2000</v>
      </c>
      <c r="AE23" s="86">
        <v>0.48152506500416498</v>
      </c>
      <c r="AF23" s="9"/>
    </row>
    <row r="24" spans="1:32" x14ac:dyDescent="0.2">
      <c r="A24" s="9"/>
      <c r="B24" s="251">
        <v>2007</v>
      </c>
      <c r="C24" s="259" t="s">
        <v>429</v>
      </c>
      <c r="D24" s="250">
        <f>(S24-V24)/(Q24-V24-X24+AB24)</f>
        <v>0.2756183745583039</v>
      </c>
      <c r="E24" s="250">
        <f>Y24/P24</f>
        <v>0.28173719376391981</v>
      </c>
      <c r="F24" s="250">
        <f>(T24+U24+V24)/S24</f>
        <v>0.30177514792899407</v>
      </c>
      <c r="G24" s="250">
        <f>(Y24+R24)/P24</f>
        <v>0.35634743875278396</v>
      </c>
      <c r="H24" s="250">
        <f>(Y24/Q24)+((S24+W24+Z24)/(Q24+W24+Z24+AB24))</f>
        <v>0.58369281604598433</v>
      </c>
      <c r="I24" s="250">
        <f>V24/Y24</f>
        <v>5.1383399209486168E-2</v>
      </c>
      <c r="J24" s="250">
        <f>(AA24+AB24)/Y24</f>
        <v>4.7430830039525688E-2</v>
      </c>
      <c r="K24" s="250">
        <f>X24/P24</f>
        <v>0.267260579064588</v>
      </c>
      <c r="L24" s="250">
        <f>(W24+Z24)/P24</f>
        <v>8.2405345211581285E-2</v>
      </c>
      <c r="M24" s="260">
        <f>(1-D24*0.7635+1-E24*0.7562+1-F24*0.75+1-G24*0.7248+1-H24*0.7021+1-I24*0.6285+J24*0.5884+K24*0.5276+1-L24*0.3663)/11.068</f>
        <v>0.52299678640724423</v>
      </c>
      <c r="N24" s="266">
        <f>M24/0.4859*100</f>
        <v>107.63465453946166</v>
      </c>
      <c r="O24" s="286">
        <f>(N24-100)/100*P24*0.6611</f>
        <v>45.324485642022196</v>
      </c>
      <c r="P24" s="261">
        <v>898</v>
      </c>
      <c r="Q24" s="261">
        <f>P24-W24-Z24-AA24-AB24</f>
        <v>812</v>
      </c>
      <c r="R24" s="261">
        <v>67</v>
      </c>
      <c r="S24" s="261">
        <v>169</v>
      </c>
      <c r="T24" s="261">
        <v>31</v>
      </c>
      <c r="U24" s="261">
        <v>7</v>
      </c>
      <c r="V24" s="261">
        <v>13</v>
      </c>
      <c r="W24" s="261">
        <v>68</v>
      </c>
      <c r="X24" s="261">
        <v>240</v>
      </c>
      <c r="Y24" s="261">
        <f>S24+T24+U24*2+V24*3</f>
        <v>253</v>
      </c>
      <c r="Z24" s="261">
        <v>6</v>
      </c>
      <c r="AA24" s="261">
        <v>5</v>
      </c>
      <c r="AB24" s="261">
        <v>7</v>
      </c>
      <c r="AC24" s="9"/>
      <c r="AD24" s="6">
        <v>1999</v>
      </c>
      <c r="AE24" s="86">
        <v>0.48264185168330759</v>
      </c>
      <c r="AF24" s="9"/>
    </row>
    <row r="25" spans="1:32" x14ac:dyDescent="0.2">
      <c r="A25" s="9"/>
      <c r="B25" s="251">
        <v>2004</v>
      </c>
      <c r="C25" s="259" t="s">
        <v>430</v>
      </c>
      <c r="D25" s="250">
        <f>(S25-V25)/(Q25-V25-X25+AB25)</f>
        <v>0.2509505703422053</v>
      </c>
      <c r="E25" s="250">
        <f>Y25/P25</f>
        <v>0.29057888762769579</v>
      </c>
      <c r="F25" s="250">
        <f>(T25+U25+V25)/S25</f>
        <v>0.3141025641025641</v>
      </c>
      <c r="G25" s="250">
        <f>(Y25+R25)/P25</f>
        <v>0.37003405221339386</v>
      </c>
      <c r="H25" s="250">
        <f>(Y25/Q25)+((S25+W25+Z25)/(Q25+W25+Z25+AB25))</f>
        <v>0.56470145987858655</v>
      </c>
      <c r="I25" s="250">
        <f>V25/Y25</f>
        <v>9.375E-2</v>
      </c>
      <c r="J25" s="250">
        <f>(AA25+AB25)/Y25</f>
        <v>2.34375E-2</v>
      </c>
      <c r="K25" s="250">
        <f>X25/P25</f>
        <v>0.300794551645857</v>
      </c>
      <c r="L25" s="250">
        <f>(W25+Z25)/P25</f>
        <v>7.1509648127128261E-2</v>
      </c>
      <c r="M25" s="260">
        <f>(1-D25*0.7635+1-E25*0.7562+1-F25*0.75+1-G25*0.7248+1-H25*0.7021+1-I25*0.6285+J25*0.5884+K25*0.5276+1-L25*0.3663)/11.068</f>
        <v>0.52184522560147306</v>
      </c>
      <c r="N25" s="266">
        <f>M25/0.4846*100</f>
        <v>107.68576673575589</v>
      </c>
      <c r="O25" s="286">
        <f>(N25-100)/100*P25*0.6611</f>
        <v>44.764142027162407</v>
      </c>
      <c r="P25" s="261">
        <v>881</v>
      </c>
      <c r="Q25" s="261">
        <f>P25-W25-Z25-AA25-AB25</f>
        <v>812</v>
      </c>
      <c r="R25" s="261">
        <v>70</v>
      </c>
      <c r="S25" s="261">
        <v>156</v>
      </c>
      <c r="T25" s="261">
        <v>22</v>
      </c>
      <c r="U25" s="261">
        <v>3</v>
      </c>
      <c r="V25" s="261">
        <v>24</v>
      </c>
      <c r="W25" s="261">
        <v>54</v>
      </c>
      <c r="X25" s="261">
        <v>265</v>
      </c>
      <c r="Y25" s="261">
        <f>S25+T25+U25*2+V25*3</f>
        <v>256</v>
      </c>
      <c r="Z25" s="261">
        <v>9</v>
      </c>
      <c r="AA25" s="261">
        <v>3</v>
      </c>
      <c r="AB25" s="261">
        <v>3</v>
      </c>
      <c r="AC25" s="9"/>
      <c r="AD25" s="6">
        <v>1998</v>
      </c>
      <c r="AE25" s="86">
        <v>0.48704797809522182</v>
      </c>
      <c r="AF25" s="9"/>
    </row>
    <row r="26" spans="1:32" x14ac:dyDescent="0.2">
      <c r="A26" s="9"/>
      <c r="B26" s="251">
        <v>1993</v>
      </c>
      <c r="C26" s="259" t="s">
        <v>44</v>
      </c>
      <c r="D26" s="250">
        <f>(S26-V26)/(Q26-V26-X26+AB26)</f>
        <v>0.27435897435897438</v>
      </c>
      <c r="E26" s="250">
        <f>Y26/P26</f>
        <v>0.2932330827067669</v>
      </c>
      <c r="F26" s="250">
        <f>(T26+U26+V26)/S26</f>
        <v>0.23684210526315788</v>
      </c>
      <c r="G26" s="250">
        <f>(Y26+R26)/P26</f>
        <v>0.37312030075187969</v>
      </c>
      <c r="H26" s="250">
        <f>(Y26/Q26)+((S26+W26+Z26)/(Q26+W26+Z26+AB26))</f>
        <v>0.58971378083656911</v>
      </c>
      <c r="I26" s="250">
        <f>V26/Y26</f>
        <v>4.4871794871794872E-2</v>
      </c>
      <c r="J26" s="250">
        <f>(AA26+AB26)/Y26</f>
        <v>7.0512820512820512E-2</v>
      </c>
      <c r="K26" s="250">
        <f>X26/P26</f>
        <v>0.18515037593984962</v>
      </c>
      <c r="L26" s="250">
        <f>(W26+Z26)/P26</f>
        <v>5.4511278195488719E-2</v>
      </c>
      <c r="M26" s="260">
        <f>(1-D26*0.7635+1-E26*0.7562+1-F26*0.75+1-G26*0.7248+1-H26*0.7021+1-I26*0.6285+J26*0.5884+K26*0.5276+1-L26*0.3663)/11.068</f>
        <v>0.52382386385363733</v>
      </c>
      <c r="N26" s="266">
        <f>M26/0.493*100</f>
        <v>106.25230504130573</v>
      </c>
      <c r="O26" s="286">
        <f>(N26-100)/100*P26*0.6611</f>
        <v>43.979363900268815</v>
      </c>
      <c r="P26" s="261">
        <v>1064</v>
      </c>
      <c r="Q26" s="261">
        <f>P26-W26-Z26-AA26-AB26</f>
        <v>984</v>
      </c>
      <c r="R26" s="261">
        <v>85</v>
      </c>
      <c r="S26" s="261">
        <v>228</v>
      </c>
      <c r="T26" s="261">
        <v>38</v>
      </c>
      <c r="U26" s="261">
        <v>2</v>
      </c>
      <c r="V26" s="261">
        <v>14</v>
      </c>
      <c r="W26" s="261">
        <v>52</v>
      </c>
      <c r="X26" s="261">
        <v>197</v>
      </c>
      <c r="Y26" s="261">
        <f>S26+T26+U26*2+V26*3</f>
        <v>312</v>
      </c>
      <c r="Z26" s="261">
        <v>6</v>
      </c>
      <c r="AA26" s="261">
        <v>15</v>
      </c>
      <c r="AB26" s="261">
        <v>7</v>
      </c>
      <c r="AC26" s="9"/>
      <c r="AD26" s="6">
        <v>1997</v>
      </c>
      <c r="AE26" s="86">
        <v>0.48757705381289906</v>
      </c>
      <c r="AF26" s="9"/>
    </row>
    <row r="27" spans="1:32" x14ac:dyDescent="0.2">
      <c r="A27" s="9"/>
      <c r="B27" s="251">
        <v>2011</v>
      </c>
      <c r="C27" s="259" t="s">
        <v>341</v>
      </c>
      <c r="D27" s="250">
        <f>(S27-V27)/(Q27-V27-X27+AB27)</f>
        <v>0.27366609294320138</v>
      </c>
      <c r="E27" s="250">
        <f>Y27/P27</f>
        <v>0.27521929824561403</v>
      </c>
      <c r="F27" s="250">
        <f>(T27+U27+V27)/S27</f>
        <v>0.26436781609195403</v>
      </c>
      <c r="G27" s="250">
        <f>(Y27+R27)/P27</f>
        <v>0.34758771929824561</v>
      </c>
      <c r="H27" s="250">
        <f>(Y27/Q27)+((S27+W27+Z27)/(Q27+W27+Z27+AB27))</f>
        <v>0.55448156047252861</v>
      </c>
      <c r="I27" s="250">
        <f>V27/Y27</f>
        <v>5.9760956175298807E-2</v>
      </c>
      <c r="J27" s="250">
        <f>(AA27+AB27)/Y27</f>
        <v>5.1792828685258967E-2</v>
      </c>
      <c r="K27" s="250">
        <f>X27/P27</f>
        <v>0.27192982456140352</v>
      </c>
      <c r="L27" s="250">
        <f>(W27+Z27)/P27</f>
        <v>6.25E-2</v>
      </c>
      <c r="M27" s="260">
        <f>(1-D27*0.7635+1-E27*0.7562+1-F27*0.75+1-G27*0.7248+1-H27*0.7021+1-I27*0.6285+J27*0.5884+K27*0.5276+1-L27*0.3663)/11.068</f>
        <v>0.52917579734019382</v>
      </c>
      <c r="N27" s="266">
        <f>M27/0.4939*100</f>
        <v>107.14229547280701</v>
      </c>
      <c r="O27" s="286">
        <f>(N27-100)/100*P27*0.6611</f>
        <v>43.062556418103142</v>
      </c>
      <c r="P27" s="261">
        <v>912</v>
      </c>
      <c r="Q27" s="261">
        <f>P27-W27-Z27-AA27-AB27</f>
        <v>842</v>
      </c>
      <c r="R27" s="261">
        <v>66</v>
      </c>
      <c r="S27" s="261">
        <v>174</v>
      </c>
      <c r="T27" s="261">
        <v>30</v>
      </c>
      <c r="U27" s="261">
        <v>1</v>
      </c>
      <c r="V27" s="261">
        <v>15</v>
      </c>
      <c r="W27" s="261">
        <v>54</v>
      </c>
      <c r="X27" s="261">
        <v>248</v>
      </c>
      <c r="Y27" s="261">
        <f>S27+T27+U27*2+V27*3</f>
        <v>251</v>
      </c>
      <c r="Z27" s="261">
        <v>3</v>
      </c>
      <c r="AA27" s="261">
        <v>11</v>
      </c>
      <c r="AB27" s="261">
        <v>2</v>
      </c>
      <c r="AC27" s="9"/>
      <c r="AD27" s="6">
        <v>1996</v>
      </c>
      <c r="AE27" s="86">
        <v>0.48516506295583844</v>
      </c>
      <c r="AF27" s="9"/>
    </row>
    <row r="28" spans="1:32" x14ac:dyDescent="0.2">
      <c r="A28" s="9"/>
      <c r="B28" s="251">
        <v>2019</v>
      </c>
      <c r="C28" s="259" t="s">
        <v>416</v>
      </c>
      <c r="D28" s="250">
        <f>(S28-V28)/(Q28-V28-X28+AB28)</f>
        <v>0.2848101265822785</v>
      </c>
      <c r="E28" s="250">
        <f>Y28/P28</f>
        <v>0.29975124378109452</v>
      </c>
      <c r="F28" s="250">
        <f>(T28+U28+V28)/S28</f>
        <v>0.31168831168831168</v>
      </c>
      <c r="G28" s="250">
        <f>(Y28+R28)/P28</f>
        <v>0.37313432835820898</v>
      </c>
      <c r="H28" s="250">
        <f>(Y28/Q28)+((S28+W28+Z28)/(Q28+W28+Z28+AB28))</f>
        <v>0.58006064627764575</v>
      </c>
      <c r="I28" s="250">
        <f>V28/Y28</f>
        <v>7.8838174273858919E-2</v>
      </c>
      <c r="J28" s="250">
        <f>(AA28+AB28)/Y28</f>
        <v>3.3195020746887967E-2</v>
      </c>
      <c r="K28" s="250">
        <f>X28/P28</f>
        <v>0.31716417910447764</v>
      </c>
      <c r="L28" s="250">
        <f>(W28+Z28)/P28</f>
        <v>6.3432835820895525E-2</v>
      </c>
      <c r="M28" s="260">
        <f>(1-D28*0.7635+1-E28*0.7562+1-F28*0.75+1-G28*0.7248+1-H28*0.7021+1-I28*0.6285+J28*0.5884+K28*0.5276+1-L28*0.3663)/11.068</f>
        <v>0.52028221303813205</v>
      </c>
      <c r="N28" s="266">
        <f>M28/0.4819*100</f>
        <v>107.96476717952524</v>
      </c>
      <c r="O28" s="286">
        <f>(N28-100)/100*P28*0.6611</f>
        <v>42.334680962368452</v>
      </c>
      <c r="P28" s="261">
        <v>804</v>
      </c>
      <c r="Q28" s="261">
        <f>P28-W28-Z28-AA28-AB28</f>
        <v>745</v>
      </c>
      <c r="R28" s="261">
        <v>59</v>
      </c>
      <c r="S28" s="261">
        <v>154</v>
      </c>
      <c r="T28" s="261">
        <v>28</v>
      </c>
      <c r="U28" s="261">
        <v>1</v>
      </c>
      <c r="V28" s="261">
        <v>19</v>
      </c>
      <c r="W28" s="261">
        <v>44</v>
      </c>
      <c r="X28" s="261">
        <v>255</v>
      </c>
      <c r="Y28" s="261">
        <f>S28+T28+U28*2+V28*3</f>
        <v>241</v>
      </c>
      <c r="Z28" s="261">
        <v>7</v>
      </c>
      <c r="AA28" s="261">
        <v>5</v>
      </c>
      <c r="AB28" s="261">
        <v>3</v>
      </c>
      <c r="AC28" s="9"/>
      <c r="AD28" s="6">
        <v>1995</v>
      </c>
      <c r="AE28" s="86">
        <v>0.48805544576048798</v>
      </c>
      <c r="AF28" s="9"/>
    </row>
    <row r="29" spans="1:32" x14ac:dyDescent="0.2">
      <c r="A29" s="9"/>
      <c r="B29" s="251">
        <v>2008</v>
      </c>
      <c r="C29" s="259" t="s">
        <v>426</v>
      </c>
      <c r="D29" s="250">
        <f>(S29-V29)/(Q29-V29-X29+AB29)</f>
        <v>0.31034482758620691</v>
      </c>
      <c r="E29" s="250">
        <f>Y29/P29</f>
        <v>0.28017241379310343</v>
      </c>
      <c r="F29" s="250">
        <f>(T29+U29+V29)/S29</f>
        <v>0.29120879120879123</v>
      </c>
      <c r="G29" s="250">
        <f>(Y29+R29)/P29</f>
        <v>0.35775862068965519</v>
      </c>
      <c r="H29" s="250">
        <f>(Y29/Q29)+((S29+W29+Z29)/(Q29+W29+Z29+AB29))</f>
        <v>0.61215339170575223</v>
      </c>
      <c r="I29" s="250">
        <f>V29/Y29</f>
        <v>4.230769230769231E-2</v>
      </c>
      <c r="J29" s="250">
        <f>(AA29+AB29)/Y29</f>
        <v>5.3846153846153849E-2</v>
      </c>
      <c r="K29" s="250">
        <f>X29/P29</f>
        <v>0.28556034482758619</v>
      </c>
      <c r="L29" s="250">
        <f>(W29+Z29)/P29</f>
        <v>9.6982758620689655E-2</v>
      </c>
      <c r="M29" s="260">
        <f>(1-D29*0.7635+1-E29*0.7562+1-F29*0.75+1-G29*0.7248+1-H29*0.7021+1-I29*0.6285+J29*0.5884+K29*0.5276+1-L29*0.3663)/11.068</f>
        <v>0.52077267370658575</v>
      </c>
      <c r="N29" s="266">
        <f>M29/0.4878*100</f>
        <v>106.75946570450712</v>
      </c>
      <c r="O29" s="286">
        <f>(N29-100)/100*P29*0.6611</f>
        <v>41.469376172876828</v>
      </c>
      <c r="P29" s="261">
        <v>928</v>
      </c>
      <c r="Q29" s="261">
        <f>P29-W29-Z29-AA29-AB29</f>
        <v>824</v>
      </c>
      <c r="R29" s="261">
        <v>72</v>
      </c>
      <c r="S29" s="261">
        <v>182</v>
      </c>
      <c r="T29" s="261">
        <v>39</v>
      </c>
      <c r="U29" s="261">
        <v>3</v>
      </c>
      <c r="V29" s="261">
        <v>11</v>
      </c>
      <c r="W29" s="261">
        <v>84</v>
      </c>
      <c r="X29" s="261">
        <v>265</v>
      </c>
      <c r="Y29" s="261">
        <f>S29+T29+U29*2+V29*3</f>
        <v>260</v>
      </c>
      <c r="Z29" s="261">
        <v>6</v>
      </c>
      <c r="AA29" s="261">
        <v>11</v>
      </c>
      <c r="AB29" s="261">
        <v>3</v>
      </c>
      <c r="AC29" s="9"/>
      <c r="AD29" s="6">
        <v>1994</v>
      </c>
      <c r="AE29" s="86">
        <v>0.48595504951477814</v>
      </c>
      <c r="AF29" s="9"/>
    </row>
    <row r="30" spans="1:32" x14ac:dyDescent="0.2">
      <c r="A30" s="9"/>
      <c r="B30" s="251">
        <v>1996</v>
      </c>
      <c r="C30" s="259" t="s">
        <v>42</v>
      </c>
      <c r="D30" s="250">
        <f>(S30-V30)/(Q30-V30-X30+AB30)</f>
        <v>0.28037383177570091</v>
      </c>
      <c r="E30" s="250">
        <f>Y30/P30</f>
        <v>0.30653266331658291</v>
      </c>
      <c r="F30" s="250">
        <f>(T30+U30+V30)/S30</f>
        <v>0.33165829145728642</v>
      </c>
      <c r="G30" s="250">
        <f>(Y30+R30)/P30</f>
        <v>0.4</v>
      </c>
      <c r="H30" s="250">
        <f>(Y30/Q30)+((S30+W30+Z30)/(Q30+W30+Z30+AB30))</f>
        <v>0.58444773679590944</v>
      </c>
      <c r="I30" s="250">
        <f>V30/Y30</f>
        <v>6.2295081967213117E-2</v>
      </c>
      <c r="J30" s="250">
        <f>(AA30+AB30)/Y30</f>
        <v>1.6393442622950821E-2</v>
      </c>
      <c r="K30" s="250">
        <f>X30/P30</f>
        <v>0.27738693467336684</v>
      </c>
      <c r="L30" s="250">
        <f>(W30+Z30)/P30</f>
        <v>5.7286432160804021E-2</v>
      </c>
      <c r="M30" s="260">
        <f>(1-D30*0.7635+1-E30*0.7562+1-F30*0.75+1-G30*0.7248+1-H30*0.7021+1-I30*0.6285+J30*0.5884+K30*0.5276+1-L30*0.3663)/11.068</f>
        <v>0.51508753831749143</v>
      </c>
      <c r="N30" s="266">
        <f>M30/0.4852*100</f>
        <v>106.15983889478389</v>
      </c>
      <c r="O30" s="286">
        <f>(N30-100)/100*P30*0.6611</f>
        <v>40.519081458749206</v>
      </c>
      <c r="P30" s="261">
        <v>995</v>
      </c>
      <c r="Q30" s="261">
        <f>P30-W30-Z30-AA30-AB30</f>
        <v>933</v>
      </c>
      <c r="R30" s="261">
        <v>93</v>
      </c>
      <c r="S30" s="261">
        <v>199</v>
      </c>
      <c r="T30" s="261">
        <v>45</v>
      </c>
      <c r="U30" s="261">
        <v>2</v>
      </c>
      <c r="V30" s="261">
        <v>19</v>
      </c>
      <c r="W30" s="261">
        <v>55</v>
      </c>
      <c r="X30" s="261">
        <v>276</v>
      </c>
      <c r="Y30" s="261">
        <f>S30+T30+U30*2+V30*3</f>
        <v>305</v>
      </c>
      <c r="Z30" s="261">
        <v>2</v>
      </c>
      <c r="AA30" s="261">
        <v>1</v>
      </c>
      <c r="AB30" s="261">
        <v>4</v>
      </c>
      <c r="AC30" s="9"/>
      <c r="AD30" s="6">
        <v>1993</v>
      </c>
      <c r="AE30" s="86">
        <v>0.4929590308351024</v>
      </c>
      <c r="AF30" s="9"/>
    </row>
    <row r="31" spans="1:32" x14ac:dyDescent="0.2">
      <c r="A31" s="9"/>
      <c r="B31" s="251">
        <v>1995</v>
      </c>
      <c r="C31" s="259" t="s">
        <v>40</v>
      </c>
      <c r="D31" s="250">
        <f>(S31-V31)/(Q31-V31-X31+AB31)</f>
        <v>0.30184804928131415</v>
      </c>
      <c r="E31" s="250">
        <f>Y31/P31</f>
        <v>0.27713625866050806</v>
      </c>
      <c r="F31" s="250">
        <f>(T31+U31+V31)/S31</f>
        <v>0.33333333333333331</v>
      </c>
      <c r="G31" s="250">
        <f>(Y31+R31)/P31</f>
        <v>0.35219399538106233</v>
      </c>
      <c r="H31" s="250">
        <f>(Y31/Q31)+((S31+W31+Z31)/(Q31+W31+Z31+AB31))</f>
        <v>0.5692340067340067</v>
      </c>
      <c r="I31" s="250">
        <f>V31/Y31</f>
        <v>0.05</v>
      </c>
      <c r="J31" s="250">
        <f>(AA31+AB31)/Y31</f>
        <v>1.2500000000000001E-2</v>
      </c>
      <c r="K31" s="250">
        <f>X31/P31</f>
        <v>0.33949191685912239</v>
      </c>
      <c r="L31" s="250">
        <f>(W31+Z31)/P31</f>
        <v>8.198614318706697E-2</v>
      </c>
      <c r="M31" s="260">
        <f>(1-D31*0.7635+1-E31*0.7562+1-F31*0.75+1-G31*0.7248+1-H31*0.7021+1-I31*0.6285+J31*0.5884+K31*0.5276+1-L31*0.3663)/11.068</f>
        <v>0.52223107902782362</v>
      </c>
      <c r="N31" s="266">
        <f>M31/0.4881*100</f>
        <v>106.99264065310872</v>
      </c>
      <c r="O31" s="286">
        <f>(N31-100)/100*P31*0.6611</f>
        <v>40.033748811769726</v>
      </c>
      <c r="P31" s="261">
        <v>866</v>
      </c>
      <c r="Q31" s="261">
        <f>P31-W31-Z31-AA31-AB31</f>
        <v>792</v>
      </c>
      <c r="R31" s="261">
        <v>65</v>
      </c>
      <c r="S31" s="261">
        <v>159</v>
      </c>
      <c r="T31" s="261">
        <v>37</v>
      </c>
      <c r="U31" s="261">
        <v>4</v>
      </c>
      <c r="V31" s="261">
        <v>12</v>
      </c>
      <c r="W31" s="261">
        <v>65</v>
      </c>
      <c r="X31" s="261">
        <v>294</v>
      </c>
      <c r="Y31" s="261">
        <f>S31+T31+U31*2+V31*3</f>
        <v>240</v>
      </c>
      <c r="Z31" s="261">
        <v>6</v>
      </c>
      <c r="AA31" s="261">
        <v>2</v>
      </c>
      <c r="AB31" s="261">
        <v>1</v>
      </c>
      <c r="AC31" s="9"/>
      <c r="AD31" s="6">
        <v>1992</v>
      </c>
      <c r="AE31" s="86">
        <v>0.50116080021520182</v>
      </c>
      <c r="AF31" s="9"/>
    </row>
    <row r="32" spans="1:32" x14ac:dyDescent="0.2">
      <c r="A32" s="9"/>
      <c r="B32" s="251">
        <v>2010</v>
      </c>
      <c r="C32" s="259" t="s">
        <v>425</v>
      </c>
      <c r="D32" s="250">
        <f>(S32-V32)/(Q32-V32-X32+AB32)</f>
        <v>0.26497005988023953</v>
      </c>
      <c r="E32" s="250">
        <f>Y32/P32</f>
        <v>0.28471528471528473</v>
      </c>
      <c r="F32" s="250">
        <f>(T32+U32+V32)/S32</f>
        <v>0.27835051546391754</v>
      </c>
      <c r="G32" s="250">
        <f>(Y32+R32)/P32</f>
        <v>0.36463536463536461</v>
      </c>
      <c r="H32" s="250">
        <f>(Y32/Q32)+((S32+W32+Z32)/(Q32+W32+Z32+AB32))</f>
        <v>0.5851830267310294</v>
      </c>
      <c r="I32" s="250">
        <f>V32/Y32</f>
        <v>5.9649122807017542E-2</v>
      </c>
      <c r="J32" s="250">
        <f>(AA32+AB32)/Y32</f>
        <v>3.1578947368421054E-2</v>
      </c>
      <c r="K32" s="250">
        <f>X32/P32</f>
        <v>0.23176823176823177</v>
      </c>
      <c r="L32" s="250">
        <f>(W32+Z32)/P32</f>
        <v>7.792207792207792E-2</v>
      </c>
      <c r="M32" s="260">
        <f>(1-D32*0.7635+1-E32*0.7562+1-F32*0.75+1-G32*0.7248+1-H32*0.7021+1-I32*0.6285+J32*0.5884+K32*0.5276+1-L32*0.3663)/11.068</f>
        <v>0.52162230754532546</v>
      </c>
      <c r="N32" s="266">
        <f>M32/0.4924*100</f>
        <v>105.93466846980616</v>
      </c>
      <c r="O32" s="286">
        <f>(N32-100)/100*P32*0.6611</f>
        <v>39.273327347142384</v>
      </c>
      <c r="P32" s="261">
        <v>1001</v>
      </c>
      <c r="Q32" s="261">
        <f>P32-W32-Z32-AA32-AB32</f>
        <v>914</v>
      </c>
      <c r="R32" s="261">
        <v>80</v>
      </c>
      <c r="S32" s="261">
        <v>194</v>
      </c>
      <c r="T32" s="261">
        <v>34</v>
      </c>
      <c r="U32" s="261">
        <v>3</v>
      </c>
      <c r="V32" s="261">
        <v>17</v>
      </c>
      <c r="W32" s="261">
        <v>70</v>
      </c>
      <c r="X32" s="261">
        <v>232</v>
      </c>
      <c r="Y32" s="261">
        <f>S32+T32+U32*2+V32*3</f>
        <v>285</v>
      </c>
      <c r="Z32" s="261">
        <v>8</v>
      </c>
      <c r="AA32" s="261">
        <v>6</v>
      </c>
      <c r="AB32" s="261">
        <v>3</v>
      </c>
      <c r="AC32" s="9"/>
      <c r="AD32" s="6">
        <v>1991</v>
      </c>
      <c r="AE32" s="86">
        <v>0.49864177252393077</v>
      </c>
      <c r="AF32" s="9"/>
    </row>
    <row r="33" spans="1:32" x14ac:dyDescent="0.2">
      <c r="A33" s="9"/>
      <c r="B33" s="251">
        <v>1998</v>
      </c>
      <c r="C33" s="259" t="s">
        <v>45</v>
      </c>
      <c r="D33" s="250">
        <f>(S33-V33)/(Q33-V33-X33+AB33)</f>
        <v>0.27712609970674484</v>
      </c>
      <c r="E33" s="250">
        <f>Y33/P33</f>
        <v>0.2955032119914347</v>
      </c>
      <c r="F33" s="250">
        <f>(T33+U33+V33)/S33</f>
        <v>0.23267326732673269</v>
      </c>
      <c r="G33" s="250">
        <f>(Y33+R33)/P33</f>
        <v>0.36723768736616702</v>
      </c>
      <c r="H33" s="250">
        <f>(Y33/Q33)+((S33+W33+Z33)/(Q33+W33+Z33+AB33))</f>
        <v>0.6242748478701825</v>
      </c>
      <c r="I33" s="250">
        <f>V33/Y33</f>
        <v>4.710144927536232E-2</v>
      </c>
      <c r="J33" s="250">
        <f>(AA33+AB33)/Y33</f>
        <v>2.8985507246376812E-2</v>
      </c>
      <c r="K33" s="250">
        <f>X33/P33</f>
        <v>0.16809421841541755</v>
      </c>
      <c r="L33" s="250">
        <f>(W33+Z33)/P33</f>
        <v>8.137044967880086E-2</v>
      </c>
      <c r="M33" s="260">
        <f>(1-D33*0.7635+1-E33*0.7562+1-F33*0.75+1-G33*0.7248+1-H33*0.7021+1-I33*0.6285+J33*0.5884+K33*0.5276+1-L33*0.3663)/11.068</f>
        <v>0.51791695179717268</v>
      </c>
      <c r="N33" s="266">
        <f>M33/0.487*100</f>
        <v>106.3484500610211</v>
      </c>
      <c r="O33" s="286">
        <f>(N33-100)/100*P33*0.6611</f>
        <v>39.19960953208539</v>
      </c>
      <c r="P33" s="261">
        <v>934</v>
      </c>
      <c r="Q33" s="261">
        <f>P33-W33-Z33-AA33-AB33</f>
        <v>850</v>
      </c>
      <c r="R33" s="261">
        <v>67</v>
      </c>
      <c r="S33" s="261">
        <v>202</v>
      </c>
      <c r="T33" s="261">
        <v>33</v>
      </c>
      <c r="U33" s="261">
        <v>1</v>
      </c>
      <c r="V33" s="261">
        <v>13</v>
      </c>
      <c r="W33" s="261">
        <v>74</v>
      </c>
      <c r="X33" s="261">
        <v>157</v>
      </c>
      <c r="Y33" s="261">
        <f>S33+T33+U33*2+V33*3</f>
        <v>276</v>
      </c>
      <c r="Z33" s="261">
        <v>2</v>
      </c>
      <c r="AA33" s="261">
        <v>6</v>
      </c>
      <c r="AB33" s="261">
        <v>2</v>
      </c>
      <c r="AC33" s="9"/>
      <c r="AD33" s="6">
        <v>1990</v>
      </c>
      <c r="AE33" s="86">
        <v>0.49849602073093108</v>
      </c>
      <c r="AF33" s="9"/>
    </row>
    <row r="34" spans="1:32" x14ac:dyDescent="0.2">
      <c r="A34" s="9"/>
      <c r="B34" s="251">
        <v>1970</v>
      </c>
      <c r="C34" s="259" t="s">
        <v>139</v>
      </c>
      <c r="D34" s="250">
        <f>(S34-V34)/(Q34-V34-X34+AB34)</f>
        <v>0.30072463768115942</v>
      </c>
      <c r="E34" s="250">
        <f>Y34/P34</f>
        <v>0.29018961253091508</v>
      </c>
      <c r="F34" s="250">
        <f>(T34+U34+V34)/S34</f>
        <v>0.19847328244274809</v>
      </c>
      <c r="G34" s="250">
        <f>(Y34+R34)/P34</f>
        <v>0.3816982687551525</v>
      </c>
      <c r="H34" s="250">
        <f>(Y34/Q34)+((S34+W34+Z34)/(Q34+W34+Z34+AB34))</f>
        <v>0.61184118284366829</v>
      </c>
      <c r="I34" s="250">
        <f>V34/Y34</f>
        <v>3.6931818181818184E-2</v>
      </c>
      <c r="J34" s="250">
        <f>(AA34+AB34)/Y34</f>
        <v>4.5454545454545456E-2</v>
      </c>
      <c r="K34" s="250">
        <f>X34/P34</f>
        <v>0.22588623248145095</v>
      </c>
      <c r="L34" s="250">
        <f>(W34+Z34)/P34</f>
        <v>7.5845012366034623E-2</v>
      </c>
      <c r="M34" s="260">
        <f>(1-D34*0.7635+1-E34*0.7562+1-F34*0.75+1-G34*0.7248+1-H34*0.7021+1-I34*0.6285+J34*0.5884+K34*0.5276+1-L34*0.3663)/11.068</f>
        <v>0.5232021275460732</v>
      </c>
      <c r="N34" s="266">
        <f>M34/0.4989*100</f>
        <v>104.87114202166229</v>
      </c>
      <c r="O34" s="286">
        <f>(N34-100)/100*P34*0.6611</f>
        <v>39.062384445019035</v>
      </c>
      <c r="P34" s="261">
        <v>1213</v>
      </c>
      <c r="Q34" s="261">
        <f>P34-W34-Z34-AA34-AB34</f>
        <v>1105</v>
      </c>
      <c r="R34" s="261">
        <v>111</v>
      </c>
      <c r="S34" s="261">
        <v>262</v>
      </c>
      <c r="T34" s="261">
        <v>27</v>
      </c>
      <c r="U34" s="261">
        <v>12</v>
      </c>
      <c r="V34" s="261">
        <v>13</v>
      </c>
      <c r="W34" s="261">
        <v>88</v>
      </c>
      <c r="X34" s="261">
        <v>274</v>
      </c>
      <c r="Y34" s="261">
        <f>S34+T34+U34*2+V34*3</f>
        <v>352</v>
      </c>
      <c r="Z34" s="261">
        <v>4</v>
      </c>
      <c r="AA34" s="261">
        <v>6</v>
      </c>
      <c r="AB34" s="261">
        <v>10</v>
      </c>
      <c r="AC34" s="9"/>
      <c r="AD34" s="6">
        <v>1989</v>
      </c>
      <c r="AE34" s="86">
        <v>0.50191343303830815</v>
      </c>
      <c r="AF34" s="9"/>
    </row>
    <row r="35" spans="1:32" x14ac:dyDescent="0.2">
      <c r="A35" s="9"/>
      <c r="B35" s="251">
        <v>2000</v>
      </c>
      <c r="C35" s="259" t="s">
        <v>40</v>
      </c>
      <c r="D35" s="250">
        <f>(S35-V35)/(Q35-V35-X35+AB35)</f>
        <v>0.33457943925233646</v>
      </c>
      <c r="E35" s="250">
        <f>Y35/P35</f>
        <v>0.31968031968031968</v>
      </c>
      <c r="F35" s="250">
        <f>(T35+U35+V35)/S35</f>
        <v>0.34653465346534651</v>
      </c>
      <c r="G35" s="250">
        <f>(Y35+R35)/P35</f>
        <v>0.40859140859140858</v>
      </c>
      <c r="H35" s="250">
        <f>(Y35/Q35)+((S35+W35+Z35)/(Q35+W35+Z35+AB35))</f>
        <v>0.64329618372171571</v>
      </c>
      <c r="I35" s="250">
        <f>V35/Y35</f>
        <v>7.1874999999999994E-2</v>
      </c>
      <c r="J35" s="250">
        <f>(AA35+AB35)/Y35</f>
        <v>5.9374999999999997E-2</v>
      </c>
      <c r="K35" s="250">
        <f>X35/P35</f>
        <v>0.34665334665334663</v>
      </c>
      <c r="L35" s="250">
        <f>(W35+Z35)/P35</f>
        <v>8.191808191808192E-2</v>
      </c>
      <c r="M35" s="260">
        <f>(1-D35*0.7635+1-E35*0.7562+1-F35*0.75+1-G35*0.7248+1-H35*0.7021+1-I35*0.6285+J35*0.5884+K35*0.5276+1-L35*0.3663)/11.068</f>
        <v>0.50937392225688627</v>
      </c>
      <c r="N35" s="266">
        <f>M35/0.4815*100</f>
        <v>105.78897658502311</v>
      </c>
      <c r="O35" s="286">
        <f>(N35-100)/100*P35*0.6611</f>
        <v>38.309195127791348</v>
      </c>
      <c r="P35" s="261">
        <v>1001</v>
      </c>
      <c r="Q35" s="261">
        <f>P35-W35-Z35-AA35-AB35</f>
        <v>900</v>
      </c>
      <c r="R35" s="261">
        <v>89</v>
      </c>
      <c r="S35" s="261">
        <v>202</v>
      </c>
      <c r="T35" s="261">
        <v>45</v>
      </c>
      <c r="U35" s="261">
        <v>2</v>
      </c>
      <c r="V35" s="261">
        <v>23</v>
      </c>
      <c r="W35" s="261">
        <v>76</v>
      </c>
      <c r="X35" s="261">
        <v>347</v>
      </c>
      <c r="Y35" s="261">
        <f>S35+T35+U35*2+V35*3</f>
        <v>320</v>
      </c>
      <c r="Z35" s="261">
        <v>6</v>
      </c>
      <c r="AA35" s="261">
        <v>14</v>
      </c>
      <c r="AB35" s="261">
        <v>5</v>
      </c>
      <c r="AC35" s="9"/>
      <c r="AD35" s="6">
        <v>1988</v>
      </c>
      <c r="AE35" s="86">
        <v>0.50115522858787109</v>
      </c>
      <c r="AF35" s="9"/>
    </row>
    <row r="36" spans="1:32" x14ac:dyDescent="0.2">
      <c r="A36" s="9"/>
      <c r="B36" s="251">
        <v>1975</v>
      </c>
      <c r="C36" s="259" t="s">
        <v>107</v>
      </c>
      <c r="D36" s="250">
        <f>(S36-V36)/(Q36-V36-X36+AB36)</f>
        <v>0.27105263157894738</v>
      </c>
      <c r="E36" s="250">
        <f>Y36/P36</f>
        <v>0.26457399103139012</v>
      </c>
      <c r="F36" s="250">
        <f>(T36+U36+V36)/S36</f>
        <v>0.23963133640552994</v>
      </c>
      <c r="G36" s="250">
        <f>(Y36+R36)/P36</f>
        <v>0.33721973094170404</v>
      </c>
      <c r="H36" s="250">
        <f>(Y36/Q36)+((S36+W36+Z36)/(Q36+W36+Z36+AB36))</f>
        <v>0.57088714807482011</v>
      </c>
      <c r="I36" s="250">
        <f>V36/Y36</f>
        <v>3.7288135593220341E-2</v>
      </c>
      <c r="J36" s="250">
        <f>(AA36+AB36)/Y36</f>
        <v>3.7288135593220341E-2</v>
      </c>
      <c r="K36" s="250">
        <f>X36/P36</f>
        <v>0.21793721973094171</v>
      </c>
      <c r="L36" s="250">
        <f>(W36+Z36)/P36</f>
        <v>8.2511210762331838E-2</v>
      </c>
      <c r="M36" s="260">
        <f>(1-D36*0.7635+1-E36*0.7562+1-F36*0.75+1-G36*0.7248+1-H36*0.7021+1-I36*0.6285+J36*0.5884+K36*0.5276+1-L36*0.3663)/11.068</f>
        <v>0.5286668594333237</v>
      </c>
      <c r="N36" s="266">
        <f>M36/0.5026*100</f>
        <v>105.18640259318019</v>
      </c>
      <c r="O36" s="286">
        <f>(N36-100)/100*P36*0.6611</f>
        <v>38.230347911018377</v>
      </c>
      <c r="P36" s="261">
        <v>1115</v>
      </c>
      <c r="Q36" s="261">
        <f>P36-W36-Z36-AA36-AB36</f>
        <v>1012</v>
      </c>
      <c r="R36" s="261">
        <v>81</v>
      </c>
      <c r="S36" s="261">
        <v>217</v>
      </c>
      <c r="T36" s="261">
        <v>37</v>
      </c>
      <c r="U36" s="261">
        <v>4</v>
      </c>
      <c r="V36" s="261">
        <v>11</v>
      </c>
      <c r="W36" s="261">
        <v>88</v>
      </c>
      <c r="X36" s="261">
        <v>243</v>
      </c>
      <c r="Y36" s="261">
        <f>S36+T36+U36*2+V36*3</f>
        <v>295</v>
      </c>
      <c r="Z36" s="261">
        <v>4</v>
      </c>
      <c r="AA36" s="261">
        <v>9</v>
      </c>
      <c r="AB36" s="261">
        <v>2</v>
      </c>
      <c r="AC36" s="9"/>
      <c r="AD36" s="6">
        <v>1987</v>
      </c>
      <c r="AE36" s="86">
        <v>0.48872741920368279</v>
      </c>
      <c r="AF36" s="9"/>
    </row>
    <row r="37" spans="1:32" x14ac:dyDescent="0.2">
      <c r="A37" s="9"/>
      <c r="B37" s="251">
        <v>2004</v>
      </c>
      <c r="C37" s="259" t="s">
        <v>368</v>
      </c>
      <c r="D37" s="250">
        <f>(S37-V37)/(Q37-V37-X37+AB37)</f>
        <v>0.27898550724637683</v>
      </c>
      <c r="E37" s="250">
        <f>Y37/P37</f>
        <v>0.29157175398633256</v>
      </c>
      <c r="F37" s="250">
        <f>(T37+U37+V37)/S37</f>
        <v>0.31360946745562129</v>
      </c>
      <c r="G37" s="250">
        <f>(Y37+R37)/P37</f>
        <v>0.37813211845102507</v>
      </c>
      <c r="H37" s="250">
        <f>(Y37/Q37)+((S37+W37+Z37)/(Q37+W37+Z37+AB37))</f>
        <v>0.6210028661761664</v>
      </c>
      <c r="I37" s="250">
        <f>V37/Y37</f>
        <v>5.859375E-2</v>
      </c>
      <c r="J37" s="250">
        <f>(AA37+AB37)/Y37</f>
        <v>5.859375E-2</v>
      </c>
      <c r="K37" s="250">
        <f>X37/P37</f>
        <v>0.24829157175398633</v>
      </c>
      <c r="L37" s="250">
        <f>(W37+Z37)/P37</f>
        <v>9.6810933940774488E-2</v>
      </c>
      <c r="M37" s="260">
        <f>(1-D37*0.7635+1-E37*0.7562+1-F37*0.75+1-G37*0.7248+1-H37*0.7021+1-I37*0.6285+J37*0.5884+K37*0.5276+1-L37*0.3663)/11.068</f>
        <v>0.51630030820794359</v>
      </c>
      <c r="N37" s="266">
        <f>M37/0.4846*100</f>
        <v>106.54154110770607</v>
      </c>
      <c r="O37" s="286">
        <f>(N37-100)/100*P37*0.6611</f>
        <v>37.970100614953346</v>
      </c>
      <c r="P37" s="261">
        <v>878</v>
      </c>
      <c r="Q37" s="261">
        <f>P37-W37-Z37-AA37-AB37</f>
        <v>778</v>
      </c>
      <c r="R37" s="261">
        <v>76</v>
      </c>
      <c r="S37" s="261">
        <v>169</v>
      </c>
      <c r="T37" s="261">
        <v>34</v>
      </c>
      <c r="U37" s="261">
        <v>4</v>
      </c>
      <c r="V37" s="261">
        <v>15</v>
      </c>
      <c r="W37" s="261">
        <v>79</v>
      </c>
      <c r="X37" s="261">
        <v>218</v>
      </c>
      <c r="Y37" s="261">
        <f>S37+T37+U37*2+V37*3</f>
        <v>256</v>
      </c>
      <c r="Z37" s="261">
        <v>6</v>
      </c>
      <c r="AA37" s="261">
        <v>8</v>
      </c>
      <c r="AB37" s="261">
        <v>7</v>
      </c>
      <c r="AC37" s="9"/>
      <c r="AD37" s="6">
        <v>1986</v>
      </c>
      <c r="AE37" s="86">
        <v>0.49528664452020466</v>
      </c>
      <c r="AF37" s="9"/>
    </row>
    <row r="38" spans="1:32" x14ac:dyDescent="0.2">
      <c r="A38" s="9"/>
      <c r="B38" s="251">
        <v>1972</v>
      </c>
      <c r="C38" s="259" t="s">
        <v>104</v>
      </c>
      <c r="D38" s="250">
        <f>(S38-V38)/(Q38-V38-X38+AB38)</f>
        <v>0.25889967637540451</v>
      </c>
      <c r="E38" s="250">
        <f>Y38/P38</f>
        <v>0.2679496669133975</v>
      </c>
      <c r="F38" s="250">
        <f>(T38+U38+V38)/S38</f>
        <v>0.25680933852140075</v>
      </c>
      <c r="G38" s="250">
        <f>(Y38+R38)/P38</f>
        <v>0.33012583271650631</v>
      </c>
      <c r="H38" s="250">
        <f>(Y38/Q38)+((S38+W38+Z38)/(Q38+W38+Z38+AB38))</f>
        <v>0.54784203879601867</v>
      </c>
      <c r="I38" s="250">
        <f>V38/Y38</f>
        <v>4.6961325966850827E-2</v>
      </c>
      <c r="J38" s="250">
        <f>(AA38+AB38)/Y38</f>
        <v>4.9723756906077346E-2</v>
      </c>
      <c r="K38" s="250">
        <f>X38/P38</f>
        <v>0.22945965951147299</v>
      </c>
      <c r="L38" s="250">
        <f>(W38+Z38)/P38</f>
        <v>6.513693560325684E-2</v>
      </c>
      <c r="M38" s="260">
        <f>(1-D38*0.7635+1-E38*0.7562+1-F38*0.75+1-G38*0.7248+1-H38*0.7021+1-I38*0.6285+J38*0.5884+K38*0.5276+1-L38*0.3663)/11.068</f>
        <v>0.53127303741642196</v>
      </c>
      <c r="N38" s="266">
        <f>M38/0.5097*100</f>
        <v>104.23249704069491</v>
      </c>
      <c r="O38" s="286">
        <f>(N38-100)/100*P38*0.6611</f>
        <v>37.802382251581996</v>
      </c>
      <c r="P38" s="261">
        <v>1351</v>
      </c>
      <c r="Q38" s="261">
        <f>P38-W38-Z38-AA38-AB38</f>
        <v>1245</v>
      </c>
      <c r="R38" s="261">
        <v>84</v>
      </c>
      <c r="S38" s="261">
        <v>257</v>
      </c>
      <c r="T38" s="261">
        <v>44</v>
      </c>
      <c r="U38" s="261">
        <v>5</v>
      </c>
      <c r="V38" s="261">
        <v>17</v>
      </c>
      <c r="W38" s="261">
        <v>87</v>
      </c>
      <c r="X38" s="261">
        <v>310</v>
      </c>
      <c r="Y38" s="261">
        <f>S38+T38+U38*2+V38*3</f>
        <v>362</v>
      </c>
      <c r="Z38" s="261">
        <v>1</v>
      </c>
      <c r="AA38" s="261">
        <v>9</v>
      </c>
      <c r="AB38" s="261">
        <v>9</v>
      </c>
      <c r="AC38" s="9"/>
      <c r="AD38" s="6">
        <v>1985</v>
      </c>
      <c r="AE38" s="86">
        <v>0.49642608615742362</v>
      </c>
      <c r="AF38" s="9"/>
    </row>
    <row r="39" spans="1:32" x14ac:dyDescent="0.2">
      <c r="A39" s="9"/>
      <c r="B39" s="251">
        <v>1986</v>
      </c>
      <c r="C39" s="259" t="s">
        <v>368</v>
      </c>
      <c r="D39" s="250">
        <f>(S39-V39)/(Q39-V39-X39+AB39)</f>
        <v>0.23831070889894421</v>
      </c>
      <c r="E39" s="250">
        <f>Y39/P39</f>
        <v>0.28084252758274825</v>
      </c>
      <c r="F39" s="250">
        <f>(T39+U39+V39)/S39</f>
        <v>0.31843575418994413</v>
      </c>
      <c r="G39" s="250">
        <f>(Y39+R39)/P39</f>
        <v>0.35807422266800404</v>
      </c>
      <c r="H39" s="250">
        <f>(Y39/Q39)+((S39+W39+Z39)/(Q39+W39+Z39+AB39))</f>
        <v>0.55743919224967786</v>
      </c>
      <c r="I39" s="250">
        <f>V39/Y39</f>
        <v>7.4999999999999997E-2</v>
      </c>
      <c r="J39" s="250">
        <f>(AA39+AB39)/Y39</f>
        <v>3.5714285714285712E-2</v>
      </c>
      <c r="K39" s="250">
        <f>X39/P39</f>
        <v>0.23871614844533601</v>
      </c>
      <c r="L39" s="250">
        <f>(W39+Z39)/P39</f>
        <v>7.1213640922768301E-2</v>
      </c>
      <c r="M39" s="260">
        <f>(1-D39*0.7635+1-E39*0.7562+1-F39*0.75+1-G39*0.7248+1-H39*0.7021+1-I39*0.6285+J39*0.5884+K39*0.5276+1-L39*0.3663)/11.068</f>
        <v>0.52310060121529556</v>
      </c>
      <c r="N39" s="266">
        <f>M39/0.4953*100</f>
        <v>105.61288132753796</v>
      </c>
      <c r="O39" s="286">
        <f>(N39-100)/100*P39*0.6611</f>
        <v>36.995438180984415</v>
      </c>
      <c r="P39" s="261">
        <v>997</v>
      </c>
      <c r="Q39" s="261">
        <f>P39-W39-Z39-AA39-AB39</f>
        <v>916</v>
      </c>
      <c r="R39" s="261">
        <v>77</v>
      </c>
      <c r="S39" s="261">
        <v>179</v>
      </c>
      <c r="T39" s="261">
        <v>34</v>
      </c>
      <c r="U39" s="261">
        <v>2</v>
      </c>
      <c r="V39" s="261">
        <v>21</v>
      </c>
      <c r="W39" s="261">
        <v>67</v>
      </c>
      <c r="X39" s="261">
        <v>238</v>
      </c>
      <c r="Y39" s="261">
        <f>S39+T39+U39*2+V39*3</f>
        <v>280</v>
      </c>
      <c r="Z39" s="261">
        <v>4</v>
      </c>
      <c r="AA39" s="261">
        <v>4</v>
      </c>
      <c r="AB39" s="261">
        <v>6</v>
      </c>
      <c r="AC39" s="9"/>
      <c r="AD39" s="6">
        <v>1984</v>
      </c>
      <c r="AE39" s="86">
        <v>0.49899874590538768</v>
      </c>
      <c r="AF39" s="9"/>
    </row>
    <row r="40" spans="1:32" x14ac:dyDescent="0.2">
      <c r="A40" s="9"/>
      <c r="B40" s="251">
        <v>1969</v>
      </c>
      <c r="C40" s="259" t="s">
        <v>462</v>
      </c>
      <c r="D40" s="250">
        <f>(S40-V40)/(Q40-V40-X40+AB40)</f>
        <v>0.22995283018867924</v>
      </c>
      <c r="E40" s="250">
        <f>Y40/P40</f>
        <v>0.2673702726473175</v>
      </c>
      <c r="F40" s="250">
        <f>(T40+U40+V40)/S40</f>
        <v>0.2300469483568075</v>
      </c>
      <c r="G40" s="250">
        <f>(Y40+R40)/P40</f>
        <v>0.35004397537379067</v>
      </c>
      <c r="H40" s="250">
        <f>(Y40/Q40)+((S40+W40+Z40)/(Q40+W40+Z40+AB40))</f>
        <v>0.55093951251324691</v>
      </c>
      <c r="I40" s="250">
        <f>V40/Y40</f>
        <v>5.921052631578947E-2</v>
      </c>
      <c r="J40" s="250">
        <f>(AA40+AB40)/Y40</f>
        <v>4.2763157894736843E-2</v>
      </c>
      <c r="K40" s="250">
        <f>X40/P40</f>
        <v>0.16007036059806509</v>
      </c>
      <c r="L40" s="250">
        <f>(W40+Z40)/P40</f>
        <v>7.036059806508356E-2</v>
      </c>
      <c r="M40" s="260">
        <f>(1-D40*0.7635+1-E40*0.7562+1-F40*0.75+1-G40*0.7248+1-H40*0.7021+1-I40*0.6285+J40*0.5884+K40*0.5276+1-L40*0.3663)/11.068</f>
        <v>0.52907589077674833</v>
      </c>
      <c r="N40" s="266">
        <f>M40/0.5043*100</f>
        <v>104.91292698329335</v>
      </c>
      <c r="O40" s="286">
        <f>(N40-100)/100*P40*0.6611</f>
        <v>36.929032645809976</v>
      </c>
      <c r="P40" s="261">
        <v>1137</v>
      </c>
      <c r="Q40" s="261">
        <f>P40-W40-Z40-AA40-AB40</f>
        <v>1044</v>
      </c>
      <c r="R40" s="261">
        <v>94</v>
      </c>
      <c r="S40" s="261">
        <v>213</v>
      </c>
      <c r="T40" s="261">
        <v>25</v>
      </c>
      <c r="U40" s="261">
        <v>6</v>
      </c>
      <c r="V40" s="261">
        <v>18</v>
      </c>
      <c r="W40" s="261">
        <v>79</v>
      </c>
      <c r="X40" s="261">
        <v>182</v>
      </c>
      <c r="Y40" s="261">
        <f>S40+T40+U40*2+V40*3</f>
        <v>304</v>
      </c>
      <c r="Z40" s="261">
        <v>1</v>
      </c>
      <c r="AA40" s="261">
        <v>9</v>
      </c>
      <c r="AB40" s="261">
        <v>4</v>
      </c>
      <c r="AC40" s="9"/>
      <c r="AD40" s="6">
        <v>1983</v>
      </c>
      <c r="AE40" s="86">
        <v>0.49727248155757864</v>
      </c>
      <c r="AF40" s="9"/>
    </row>
    <row r="41" spans="1:32" x14ac:dyDescent="0.2">
      <c r="A41" s="9"/>
      <c r="B41" s="251">
        <v>2015</v>
      </c>
      <c r="C41" s="259" t="s">
        <v>421</v>
      </c>
      <c r="D41" s="250">
        <f>(S41-V41)/(Q41-V41-X41+AB41)</f>
        <v>0.26923076923076922</v>
      </c>
      <c r="E41" s="250">
        <f>Y41/P41</f>
        <v>0.29418221734357847</v>
      </c>
      <c r="F41" s="250">
        <f>(T41+U41+V41)/S41</f>
        <v>0.25405405405405407</v>
      </c>
      <c r="G41" s="250">
        <f>(Y41+R41)/P41</f>
        <v>0.36882546652030734</v>
      </c>
      <c r="H41" s="250">
        <f>(Y41/Q41)+((S41+W41+Z41)/(Q41+W41+Z41+AB41))</f>
        <v>0.57535579174923446</v>
      </c>
      <c r="I41" s="250">
        <f>V41/Y41</f>
        <v>6.3432835820895525E-2</v>
      </c>
      <c r="J41" s="250">
        <f>(AA41+AB41)/Y41</f>
        <v>1.4925373134328358E-2</v>
      </c>
      <c r="K41" s="250">
        <f>X41/P41</f>
        <v>0.23710208562019758</v>
      </c>
      <c r="L41" s="250">
        <f>(W41+Z41)/P41</f>
        <v>5.8177826564215149E-2</v>
      </c>
      <c r="M41" s="260">
        <f>(1-D41*0.7635+1-E41*0.7562+1-F41*0.75+1-G41*0.7248+1-H41*0.7021+1-I41*0.6285+J41*0.5884+K41*0.5276+1-L41*0.3663)/11.068</f>
        <v>0.52248448225669009</v>
      </c>
      <c r="N41" s="266">
        <f>M41/0.4923*100</f>
        <v>106.13131876024579</v>
      </c>
      <c r="O41" s="286">
        <f>(N41-100)/100*P41*0.6611</f>
        <v>36.926609123150264</v>
      </c>
      <c r="P41" s="261">
        <v>911</v>
      </c>
      <c r="Q41" s="261">
        <f>P41-W41-Z41-AA41-AB41</f>
        <v>854</v>
      </c>
      <c r="R41" s="261">
        <v>68</v>
      </c>
      <c r="S41" s="261">
        <v>185</v>
      </c>
      <c r="T41" s="261">
        <v>28</v>
      </c>
      <c r="U41" s="261">
        <v>2</v>
      </c>
      <c r="V41" s="261">
        <v>17</v>
      </c>
      <c r="W41" s="261">
        <v>51</v>
      </c>
      <c r="X41" s="261">
        <v>216</v>
      </c>
      <c r="Y41" s="261">
        <f>S41+T41+U41*2+V41*3</f>
        <v>268</v>
      </c>
      <c r="Z41" s="261">
        <v>2</v>
      </c>
      <c r="AA41" s="261">
        <v>1</v>
      </c>
      <c r="AB41" s="261">
        <v>3</v>
      </c>
      <c r="AC41" s="9"/>
      <c r="AD41" s="6">
        <v>1982</v>
      </c>
      <c r="AE41" s="86">
        <v>0.49781875453199681</v>
      </c>
      <c r="AF41" s="9"/>
    </row>
    <row r="42" spans="1:32" x14ac:dyDescent="0.2">
      <c r="A42" s="9"/>
      <c r="B42" s="251">
        <v>2003</v>
      </c>
      <c r="C42" s="259" t="s">
        <v>434</v>
      </c>
      <c r="D42" s="250">
        <f>(S42-V42)/(Q42-V42-X42+AB42)</f>
        <v>0.25</v>
      </c>
      <c r="E42" s="291">
        <f>Y42/P42</f>
        <v>0.16013071895424835</v>
      </c>
      <c r="F42" s="250">
        <f>(T42+U42+V42)/S42</f>
        <v>0.21621621621621623</v>
      </c>
      <c r="G42" s="291">
        <f>(Y42+R42)/P42</f>
        <v>0.19934640522875818</v>
      </c>
      <c r="H42" s="291">
        <f>(Y42/Q42)+((S42+W42+Z42)/(Q42+W42+Z42+AB42))</f>
        <v>0.3743027368321109</v>
      </c>
      <c r="I42" s="250">
        <f>V42/Y42</f>
        <v>4.0816326530612242E-2</v>
      </c>
      <c r="J42" s="250">
        <f>(AA42+AB42)/Y42</f>
        <v>8.1632653061224483E-2</v>
      </c>
      <c r="K42" s="291">
        <f>X42/P42</f>
        <v>0.44771241830065361</v>
      </c>
      <c r="L42" s="250">
        <f>(W42+Z42)/P42</f>
        <v>7.5163398692810454E-2</v>
      </c>
      <c r="M42" s="289">
        <f>(1-D42*0.7635+1-E42*0.7562+1-F42*0.75+1-G42*0.7248+1-H42*0.7021+1-I42*0.6285+J42*0.5884+K42*0.5276+1-L42*0.3663)/11.068</f>
        <v>0.57369426029237347</v>
      </c>
      <c r="N42" s="288">
        <f>M42/0.4861*100</f>
        <v>118.01980256991844</v>
      </c>
      <c r="O42" s="286">
        <f>(N42-100)/100*P42*0.6611</f>
        <v>36.453447925657628</v>
      </c>
      <c r="P42" s="261">
        <v>306</v>
      </c>
      <c r="Q42" s="261">
        <f>P42-W42-Z42-AA42-AB42</f>
        <v>279</v>
      </c>
      <c r="R42" s="261">
        <v>12</v>
      </c>
      <c r="S42" s="261">
        <v>37</v>
      </c>
      <c r="T42" s="261">
        <v>6</v>
      </c>
      <c r="U42" s="261">
        <v>0</v>
      </c>
      <c r="V42" s="261">
        <v>2</v>
      </c>
      <c r="W42" s="261">
        <v>20</v>
      </c>
      <c r="X42" s="261">
        <v>137</v>
      </c>
      <c r="Y42" s="261">
        <f>S42+T42+U42*2+V42*3</f>
        <v>49</v>
      </c>
      <c r="Z42" s="261">
        <v>3</v>
      </c>
      <c r="AA42" s="261">
        <v>4</v>
      </c>
      <c r="AB42" s="261">
        <v>0</v>
      </c>
      <c r="AC42" s="9"/>
      <c r="AD42" s="6">
        <v>1981</v>
      </c>
      <c r="AE42" s="86">
        <v>0.50433127497667363</v>
      </c>
      <c r="AF42" s="9"/>
    </row>
    <row r="43" spans="1:32" x14ac:dyDescent="0.2">
      <c r="A43" s="9"/>
      <c r="B43" s="251">
        <v>2017</v>
      </c>
      <c r="C43" s="259" t="s">
        <v>418</v>
      </c>
      <c r="D43" s="250">
        <f>(S43-V43)/(Q43-V43-X43+AB43)</f>
        <v>0.26845637583892618</v>
      </c>
      <c r="E43" s="250">
        <f>Y43/P43</f>
        <v>0.30244530244530243</v>
      </c>
      <c r="F43" s="250">
        <f>(T43+U43+V43)/S43</f>
        <v>0.36879432624113473</v>
      </c>
      <c r="G43" s="250">
        <f>(Y43+R43)/P43</f>
        <v>0.37451737451737449</v>
      </c>
      <c r="H43" s="250">
        <f>(Y43/Q43)+((S43+W43+Z43)/(Q43+W43+Z43+AB43))</f>
        <v>0.55618037022916933</v>
      </c>
      <c r="I43" s="250">
        <f>V43/Y43</f>
        <v>8.9361702127659579E-2</v>
      </c>
      <c r="J43" s="250">
        <f>(AA43+AB43)/Y43</f>
        <v>1.7021276595744681E-2</v>
      </c>
      <c r="K43" s="250">
        <f>X43/P43</f>
        <v>0.34105534105534108</v>
      </c>
      <c r="L43" s="250">
        <f>(W43+Z43)/P43</f>
        <v>5.276705276705277E-2</v>
      </c>
      <c r="M43" s="260">
        <f>(1-D43*0.7635+1-E43*0.7562+1-F43*0.75+1-G43*0.7248+1-H43*0.7021+1-I43*0.6285+J43*0.5884+K43*0.5276+1-L43*0.3663)/11.068</f>
        <v>0.5188153197996771</v>
      </c>
      <c r="N43" s="266">
        <f>M43/0.4849*100</f>
        <v>106.99429156520459</v>
      </c>
      <c r="O43" s="286">
        <f>(N43-100)/100*P43*0.6611</f>
        <v>35.92790621468999</v>
      </c>
      <c r="P43" s="261">
        <v>777</v>
      </c>
      <c r="Q43" s="261">
        <f>P43-W43-Z43-AA43-AB43</f>
        <v>732</v>
      </c>
      <c r="R43" s="261">
        <v>56</v>
      </c>
      <c r="S43" s="261">
        <v>141</v>
      </c>
      <c r="T43" s="261">
        <v>31</v>
      </c>
      <c r="U43" s="261">
        <v>0</v>
      </c>
      <c r="V43" s="261">
        <v>21</v>
      </c>
      <c r="W43" s="261">
        <v>36</v>
      </c>
      <c r="X43" s="261">
        <v>265</v>
      </c>
      <c r="Y43" s="261">
        <f>S43+T43+U43*2+V43*3</f>
        <v>235</v>
      </c>
      <c r="Z43" s="261">
        <v>5</v>
      </c>
      <c r="AA43" s="261">
        <v>3</v>
      </c>
      <c r="AB43" s="261">
        <v>1</v>
      </c>
      <c r="AC43" s="9"/>
      <c r="AD43" s="6">
        <v>1980</v>
      </c>
      <c r="AE43" s="86">
        <v>0.49843234520976093</v>
      </c>
      <c r="AF43" s="9"/>
    </row>
    <row r="44" spans="1:32" x14ac:dyDescent="0.2">
      <c r="A44" s="9"/>
      <c r="B44" s="251">
        <v>1984</v>
      </c>
      <c r="C44" s="259" t="s">
        <v>371</v>
      </c>
      <c r="D44" s="250">
        <f>(S44-V44)/(Q44-V44-X44+AB44)</f>
        <v>0.23622047244094488</v>
      </c>
      <c r="E44" s="250">
        <f>Y44/P44</f>
        <v>0.22992700729927007</v>
      </c>
      <c r="F44" s="250">
        <f>(T44+U44+V44)/S44</f>
        <v>0.17708333333333334</v>
      </c>
      <c r="G44" s="250">
        <f>(Y44+R44)/P44</f>
        <v>0.28467153284671531</v>
      </c>
      <c r="H44" s="250">
        <f>(Y44/Q44)+((S44+W44+Z44)/(Q44+W44+Z44+AB44))</f>
        <v>0.5063513675264828</v>
      </c>
      <c r="I44" s="250">
        <f>V44/Y44</f>
        <v>4.7619047619047616E-2</v>
      </c>
      <c r="J44" s="250">
        <f>(AA44+AB44)/Y44</f>
        <v>9.5238095238095233E-2</v>
      </c>
      <c r="K44" s="250">
        <f>X44/P44</f>
        <v>0.20437956204379562</v>
      </c>
      <c r="L44" s="250">
        <f>(W44+Z44)/P44</f>
        <v>7.2992700729927001E-2</v>
      </c>
      <c r="M44" s="260">
        <f>(1-D44*0.7635+1-E44*0.7562+1-F44*0.75+1-G44*0.7248+1-H44*0.7021+1-I44*0.6285+J44*0.5884+K44*0.5276+1-L44*0.3663)/11.068</f>
        <v>0.54737315673025366</v>
      </c>
      <c r="N44" s="266">
        <f>M44/0.499*100</f>
        <v>109.69401938482038</v>
      </c>
      <c r="O44" s="286">
        <f>(N44-100)/100*P44*0.6611</f>
        <v>35.119764859870045</v>
      </c>
      <c r="P44" s="261">
        <v>548</v>
      </c>
      <c r="Q44" s="261">
        <f>P44-W44-Z44-AA44-AB44</f>
        <v>496</v>
      </c>
      <c r="R44" s="261">
        <v>30</v>
      </c>
      <c r="S44" s="261">
        <v>96</v>
      </c>
      <c r="T44" s="261">
        <v>10</v>
      </c>
      <c r="U44" s="261">
        <v>1</v>
      </c>
      <c r="V44" s="261">
        <v>6</v>
      </c>
      <c r="W44" s="261">
        <v>36</v>
      </c>
      <c r="X44" s="261">
        <v>112</v>
      </c>
      <c r="Y44" s="261">
        <f>S44+T44+U44*2+V44*3</f>
        <v>126</v>
      </c>
      <c r="Z44" s="261">
        <v>4</v>
      </c>
      <c r="AA44" s="261">
        <v>9</v>
      </c>
      <c r="AB44" s="261">
        <v>3</v>
      </c>
      <c r="AC44" s="9"/>
      <c r="AD44" s="6">
        <v>1979</v>
      </c>
      <c r="AE44" s="86">
        <v>0.49513453071752056</v>
      </c>
      <c r="AF44" s="9"/>
    </row>
    <row r="45" spans="1:32" x14ac:dyDescent="0.2">
      <c r="A45" s="9"/>
      <c r="B45" s="251">
        <v>2011</v>
      </c>
      <c r="C45" s="259" t="s">
        <v>344</v>
      </c>
      <c r="D45" s="250">
        <f>(S45-V45)/(Q45-V45-X45+AB45)</f>
        <v>0.23696682464454977</v>
      </c>
      <c r="E45" s="250">
        <f>Y45/P45</f>
        <v>0.29205366357069146</v>
      </c>
      <c r="F45" s="250">
        <f>(T45+U45+V45)/S45</f>
        <v>0.33333333333333331</v>
      </c>
      <c r="G45" s="250">
        <f>(Y45+R45)/P45</f>
        <v>0.36738906088751289</v>
      </c>
      <c r="H45" s="250">
        <f>(Y45/Q45)+((S45+W45+Z45)/(Q45+W45+Z45+AB45))</f>
        <v>0.55503861957884526</v>
      </c>
      <c r="I45" s="250">
        <f>V45/Y45</f>
        <v>8.4805653710247356E-2</v>
      </c>
      <c r="J45" s="250">
        <f>(AA45+AB45)/Y45</f>
        <v>1.7667844522968199E-2</v>
      </c>
      <c r="K45" s="250">
        <f>X45/P45</f>
        <v>0.25799793601651189</v>
      </c>
      <c r="L45" s="250">
        <f>(W45+Z45)/P45</f>
        <v>6.1919504643962849E-2</v>
      </c>
      <c r="M45" s="260">
        <f>(1-D45*0.7635+1-E45*0.7562+1-F45*0.75+1-G45*0.7248+1-H45*0.7021+1-I45*0.6285+J45*0.5884+K45*0.5276+1-L45*0.3663)/11.068</f>
        <v>0.52067064019748877</v>
      </c>
      <c r="N45" s="266">
        <f>M45/0.4939*100</f>
        <v>105.42025515235649</v>
      </c>
      <c r="O45" s="286">
        <f>(N45-100)/100*P45*0.6611</f>
        <v>34.722474301049658</v>
      </c>
      <c r="P45" s="261">
        <v>969</v>
      </c>
      <c r="Q45" s="261">
        <f>P45-W45-Z45-AA45-AB45</f>
        <v>904</v>
      </c>
      <c r="R45" s="261">
        <v>73</v>
      </c>
      <c r="S45" s="261">
        <v>174</v>
      </c>
      <c r="T45" s="261">
        <v>31</v>
      </c>
      <c r="U45" s="261">
        <v>3</v>
      </c>
      <c r="V45" s="261">
        <v>24</v>
      </c>
      <c r="W45" s="261">
        <v>57</v>
      </c>
      <c r="X45" s="261">
        <v>250</v>
      </c>
      <c r="Y45" s="261">
        <f>S45+T45+U45*2+V45*3</f>
        <v>283</v>
      </c>
      <c r="Z45" s="261">
        <v>3</v>
      </c>
      <c r="AA45" s="261">
        <v>2</v>
      </c>
      <c r="AB45" s="261">
        <v>3</v>
      </c>
      <c r="AC45" s="9"/>
      <c r="AD45" s="6">
        <v>1978</v>
      </c>
      <c r="AE45" s="86">
        <v>0.50118704487110732</v>
      </c>
      <c r="AF45" s="9"/>
    </row>
    <row r="46" spans="1:32" x14ac:dyDescent="0.2">
      <c r="A46" s="9"/>
      <c r="B46" s="251">
        <v>1973</v>
      </c>
      <c r="C46" s="259" t="s">
        <v>107</v>
      </c>
      <c r="D46" s="250">
        <f>(S46-V46)/(Q46-V46-X46+AB46)</f>
        <v>0.24654088050314465</v>
      </c>
      <c r="E46" s="250">
        <f>Y46/P46</f>
        <v>0.29032258064516131</v>
      </c>
      <c r="F46" s="250">
        <f>(T46+U46+V46)/S46</f>
        <v>0.28767123287671231</v>
      </c>
      <c r="G46" s="250">
        <f>(Y46+R46)/P46</f>
        <v>0.35483870967741937</v>
      </c>
      <c r="H46" s="250">
        <f>(Y46/Q46)+((S46+W46+Z46)/(Q46+W46+Z46+AB46))</f>
        <v>0.56538857037051726</v>
      </c>
      <c r="I46" s="250">
        <f>V46/Y46</f>
        <v>6.9069069069069067E-2</v>
      </c>
      <c r="J46" s="250">
        <f>(AA46+AB46)/Y46</f>
        <v>4.5045045045045043E-2</v>
      </c>
      <c r="K46" s="250">
        <f>X46/P46</f>
        <v>0.21883173496076722</v>
      </c>
      <c r="L46" s="250">
        <f>(W46+Z46)/P46</f>
        <v>5.928509154315606E-2</v>
      </c>
      <c r="M46" s="260">
        <f>(1-D46*0.7635+1-E46*0.7562+1-F46*0.75+1-G46*0.7248+1-H46*0.7021+1-I46*0.6285+J46*0.5884+K46*0.5276+1-L46*0.3663)/11.068</f>
        <v>0.52395720586291539</v>
      </c>
      <c r="N46" s="266">
        <f>M46/0.5011*100</f>
        <v>104.56140607920884</v>
      </c>
      <c r="O46" s="286">
        <f>(N46-100)/100*P46*0.6611</f>
        <v>34.588307561328108</v>
      </c>
      <c r="P46" s="261">
        <v>1147</v>
      </c>
      <c r="Q46" s="261">
        <f>P46-W46-Z46-AA46-AB46</f>
        <v>1064</v>
      </c>
      <c r="R46" s="261">
        <v>74</v>
      </c>
      <c r="S46" s="261">
        <v>219</v>
      </c>
      <c r="T46" s="261">
        <v>35</v>
      </c>
      <c r="U46" s="261">
        <v>5</v>
      </c>
      <c r="V46" s="261">
        <v>23</v>
      </c>
      <c r="W46" s="261">
        <v>64</v>
      </c>
      <c r="X46" s="261">
        <v>251</v>
      </c>
      <c r="Y46" s="261">
        <f>S46+T46+U46*2+V46*3</f>
        <v>333</v>
      </c>
      <c r="Z46" s="261">
        <v>4</v>
      </c>
      <c r="AA46" s="261">
        <v>10</v>
      </c>
      <c r="AB46" s="261">
        <v>5</v>
      </c>
      <c r="AC46" s="9"/>
      <c r="AD46" s="6">
        <v>1977</v>
      </c>
      <c r="AE46" s="86">
        <v>0.49391685919899109</v>
      </c>
      <c r="AF46" s="9"/>
    </row>
    <row r="47" spans="1:32" x14ac:dyDescent="0.2">
      <c r="A47" s="9"/>
      <c r="B47" s="251">
        <v>2002</v>
      </c>
      <c r="C47" s="259" t="s">
        <v>435</v>
      </c>
      <c r="D47" s="250">
        <f>(S47-V47)/(Q47-V47-X47+AB47)</f>
        <v>0.24803767660910517</v>
      </c>
      <c r="E47" s="250">
        <f>Y47/P47</f>
        <v>0.30244941427050054</v>
      </c>
      <c r="F47" s="250">
        <f>(T47+U47+V47)/S47</f>
        <v>0.28021978021978022</v>
      </c>
      <c r="G47" s="250">
        <f>(Y47+R47)/P47</f>
        <v>0.38658146964856233</v>
      </c>
      <c r="H47" s="250">
        <f>(Y47/Q47)+((S47+W47+Z47)/(Q47+W47+Z47+AB47))</f>
        <v>0.62896023048824401</v>
      </c>
      <c r="I47" s="250">
        <f>V47/Y47</f>
        <v>8.4507042253521125E-2</v>
      </c>
      <c r="J47" s="250">
        <f>(AA47+AB47)/Y47</f>
        <v>5.6338028169014086E-2</v>
      </c>
      <c r="K47" s="250">
        <f>X47/P47</f>
        <v>0.19382321618743345</v>
      </c>
      <c r="L47" s="250">
        <f>(W47+Z47)/P47</f>
        <v>9.2651757188498399E-2</v>
      </c>
      <c r="M47" s="260">
        <f>(1-D47*0.7635+1-E47*0.7562+1-F47*0.75+1-G47*0.7248+1-H47*0.7021+1-I47*0.6285+J47*0.5884+K47*0.5276+1-L47*0.3663)/11.068</f>
        <v>0.51484625357484093</v>
      </c>
      <c r="N47" s="266">
        <f>M47/0.4879*100</f>
        <v>105.52290501636421</v>
      </c>
      <c r="O47" s="286">
        <f>(N47-100)/100*P47*0.6611</f>
        <v>34.284697634329561</v>
      </c>
      <c r="P47" s="261">
        <v>939</v>
      </c>
      <c r="Q47" s="261">
        <f>P47-W47-Z47-AA47-AB47</f>
        <v>836</v>
      </c>
      <c r="R47" s="261">
        <v>79</v>
      </c>
      <c r="S47" s="261">
        <v>182</v>
      </c>
      <c r="T47" s="261">
        <v>24</v>
      </c>
      <c r="U47" s="261">
        <v>3</v>
      </c>
      <c r="V47" s="261">
        <v>24</v>
      </c>
      <c r="W47" s="261">
        <v>78</v>
      </c>
      <c r="X47" s="261">
        <v>182</v>
      </c>
      <c r="Y47" s="261">
        <f>S47+T47+U47*2+V47*3</f>
        <v>284</v>
      </c>
      <c r="Z47" s="261">
        <v>9</v>
      </c>
      <c r="AA47" s="261">
        <v>9</v>
      </c>
      <c r="AB47" s="261">
        <v>7</v>
      </c>
      <c r="AC47" s="9"/>
      <c r="AD47" s="6">
        <v>1976</v>
      </c>
      <c r="AE47" s="86">
        <v>0.50722966123104052</v>
      </c>
      <c r="AF47" s="9"/>
    </row>
    <row r="48" spans="1:32" x14ac:dyDescent="0.2">
      <c r="A48" s="9"/>
      <c r="B48" s="251">
        <v>2009</v>
      </c>
      <c r="C48" s="259" t="s">
        <v>304</v>
      </c>
      <c r="D48" s="250">
        <f>(S48-V48)/(Q48-V48-X48+AB48)</f>
        <v>0.30717863105175292</v>
      </c>
      <c r="E48" s="250">
        <f>Y48/P48</f>
        <v>0.31147540983606559</v>
      </c>
      <c r="F48" s="250">
        <f>(T48+U48+V48)/S48</f>
        <v>0.32307692307692309</v>
      </c>
      <c r="G48" s="250">
        <f>(Y48+R48)/P48</f>
        <v>0.38142076502732242</v>
      </c>
      <c r="H48" s="250">
        <f>(Y48/Q48)+((S48+W48+Z48)/(Q48+W48+Z48+AB48))</f>
        <v>0.61132300404003415</v>
      </c>
      <c r="I48" s="250">
        <f>V48/Y48</f>
        <v>3.8596491228070177E-2</v>
      </c>
      <c r="J48" s="250">
        <f>(AA48+AB48)/Y48</f>
        <v>3.8596491228070177E-2</v>
      </c>
      <c r="K48" s="250">
        <f>X48/P48</f>
        <v>0.2644808743169399</v>
      </c>
      <c r="L48" s="250">
        <f>(W48+Z48)/P48</f>
        <v>6.0109289617486336E-2</v>
      </c>
      <c r="M48" s="260">
        <f>(1-D48*0.7635+1-E48*0.7562+1-F48*0.75+1-G48*0.7248+1-H48*0.7021+1-I48*0.6285+J48*0.5884+K48*0.5276+1-L48*0.3663)/11.068</f>
        <v>0.51481156699877462</v>
      </c>
      <c r="N48" s="266">
        <f>M48/0.4877*100</f>
        <v>105.5590664340321</v>
      </c>
      <c r="O48" s="286">
        <f>(N48-100)/100*P48*0.6611</f>
        <v>33.627154198778413</v>
      </c>
      <c r="P48" s="261">
        <v>915</v>
      </c>
      <c r="Q48" s="261">
        <f>P48-W48-Z48-AA48-AB48</f>
        <v>849</v>
      </c>
      <c r="R48" s="261">
        <v>64</v>
      </c>
      <c r="S48" s="261">
        <v>195</v>
      </c>
      <c r="T48" s="261">
        <v>47</v>
      </c>
      <c r="U48" s="261">
        <v>5</v>
      </c>
      <c r="V48" s="261">
        <v>11</v>
      </c>
      <c r="W48" s="261">
        <v>51</v>
      </c>
      <c r="X48" s="261">
        <v>242</v>
      </c>
      <c r="Y48" s="261">
        <f>S48+T48+U48*2+V48*3</f>
        <v>285</v>
      </c>
      <c r="Z48" s="261">
        <v>4</v>
      </c>
      <c r="AA48" s="261">
        <v>8</v>
      </c>
      <c r="AB48" s="261">
        <v>3</v>
      </c>
      <c r="AC48" s="9"/>
      <c r="AD48" s="6">
        <v>1975</v>
      </c>
      <c r="AE48" s="86">
        <v>0.50262193496410357</v>
      </c>
      <c r="AF48" s="9"/>
    </row>
    <row r="49" spans="1:32" x14ac:dyDescent="0.2">
      <c r="A49" s="9"/>
      <c r="B49" s="251">
        <v>2014</v>
      </c>
      <c r="C49" s="259" t="s">
        <v>341</v>
      </c>
      <c r="D49" s="250">
        <f>(S49-V49)/(Q49-V49-X49+AB49)</f>
        <v>0.2813852813852814</v>
      </c>
      <c r="E49" s="250">
        <f>Y49/P49</f>
        <v>0.27369826435246997</v>
      </c>
      <c r="F49" s="250">
        <f>(T49+U49+V49)/S49</f>
        <v>0.30935251798561153</v>
      </c>
      <c r="G49" s="250">
        <f>(Y49+R49)/P49</f>
        <v>0.32977303070761016</v>
      </c>
      <c r="H49" s="250">
        <f>(Y49/Q49)+((S49+W49+Z49)/(Q49+W49+Z49+AB49))</f>
        <v>0.5206335767587279</v>
      </c>
      <c r="I49" s="250">
        <f>V49/Y49</f>
        <v>4.3902439024390241E-2</v>
      </c>
      <c r="J49" s="250">
        <f>(AA49+AB49)/Y49</f>
        <v>3.4146341463414637E-2</v>
      </c>
      <c r="K49" s="250">
        <f>X49/P49</f>
        <v>0.31909212283044058</v>
      </c>
      <c r="L49" s="250">
        <f>(W49+Z49)/P49</f>
        <v>4.4058744993324434E-2</v>
      </c>
      <c r="M49" s="260">
        <f>(1-D49*0.7635+1-E49*0.7562+1-F49*0.75+1-G49*0.7248+1-H49*0.7021+1-I49*0.6285+J49*0.5884+K49*0.5276+1-L49*0.3663)/11.068</f>
        <v>0.53183360181380035</v>
      </c>
      <c r="N49" s="266">
        <f>M49/0.4981*100</f>
        <v>106.77245569439879</v>
      </c>
      <c r="O49" s="286">
        <f>(N49-100)/100*P49*0.6611</f>
        <v>33.534755742157117</v>
      </c>
      <c r="P49" s="261">
        <v>749</v>
      </c>
      <c r="Q49" s="261">
        <f>P49-W49-Z49-AA49-AB49</f>
        <v>709</v>
      </c>
      <c r="R49" s="261">
        <v>42</v>
      </c>
      <c r="S49" s="261">
        <v>139</v>
      </c>
      <c r="T49" s="261">
        <v>29</v>
      </c>
      <c r="U49" s="261">
        <v>5</v>
      </c>
      <c r="V49" s="261">
        <v>9</v>
      </c>
      <c r="W49" s="261">
        <v>31</v>
      </c>
      <c r="X49" s="261">
        <v>239</v>
      </c>
      <c r="Y49" s="261">
        <f>S49+T49+U49*2+V49*3</f>
        <v>205</v>
      </c>
      <c r="Z49" s="261">
        <v>2</v>
      </c>
      <c r="AA49" s="261">
        <v>6</v>
      </c>
      <c r="AB49" s="261">
        <v>1</v>
      </c>
      <c r="AC49" s="9"/>
      <c r="AD49" s="6">
        <v>1974</v>
      </c>
      <c r="AE49" s="86">
        <v>0.50446120443494968</v>
      </c>
      <c r="AF49" s="9"/>
    </row>
    <row r="50" spans="1:32" x14ac:dyDescent="0.2">
      <c r="A50" s="9"/>
      <c r="B50" s="251">
        <v>2012</v>
      </c>
      <c r="C50" s="259" t="s">
        <v>423</v>
      </c>
      <c r="D50" s="250">
        <f>(S50-V50)/(Q50-V50-X50+AB50)</f>
        <v>0.28597449908925321</v>
      </c>
      <c r="E50" s="250">
        <f>Y50/P50</f>
        <v>0.291866028708134</v>
      </c>
      <c r="F50" s="250">
        <f>(T50+U50+V50)/S50</f>
        <v>0.22543352601156069</v>
      </c>
      <c r="G50" s="250">
        <f>(Y50+R50)/P50</f>
        <v>0.36722488038277512</v>
      </c>
      <c r="H50" s="250">
        <f>(Y50/Q50)+((S50+W50+Z50)/(Q50+W50+Z50+AB50))</f>
        <v>0.60229521728119462</v>
      </c>
      <c r="I50" s="250">
        <f>V50/Y50</f>
        <v>6.5573770491803282E-2</v>
      </c>
      <c r="J50" s="250">
        <f>(AA50+AB50)/Y50</f>
        <v>2.0491803278688523E-2</v>
      </c>
      <c r="K50" s="250">
        <f>X50/P50</f>
        <v>0.24521531100478469</v>
      </c>
      <c r="L50" s="250">
        <f>(W50+Z50)/P50</f>
        <v>7.6555023923444973E-2</v>
      </c>
      <c r="M50" s="260">
        <f>(1-D50*0.7635+1-E50*0.7562+1-F50*0.75+1-G50*0.7248+1-H50*0.7021+1-I50*0.6285+J50*0.5884+K50*0.5276+1-L50*0.3663)/11.068</f>
        <v>0.52177592377042659</v>
      </c>
      <c r="N50" s="266">
        <f>M50/0.492*100</f>
        <v>106.05201702650946</v>
      </c>
      <c r="O50" s="286">
        <f>(N50-100)/100*P50*0.6611</f>
        <v>33.448263494044383</v>
      </c>
      <c r="P50" s="261">
        <v>836</v>
      </c>
      <c r="Q50" s="261">
        <f>P50-W50-Z50-AA50-AB50</f>
        <v>767</v>
      </c>
      <c r="R50" s="261">
        <v>63</v>
      </c>
      <c r="S50" s="261">
        <v>173</v>
      </c>
      <c r="T50" s="261">
        <v>23</v>
      </c>
      <c r="U50" s="261">
        <v>0</v>
      </c>
      <c r="V50" s="261">
        <v>16</v>
      </c>
      <c r="W50" s="261">
        <v>59</v>
      </c>
      <c r="X50" s="261">
        <v>205</v>
      </c>
      <c r="Y50" s="261">
        <f>S50+T50+U50*2+V50*3</f>
        <v>244</v>
      </c>
      <c r="Z50" s="261">
        <v>5</v>
      </c>
      <c r="AA50" s="261">
        <v>2</v>
      </c>
      <c r="AB50" s="261">
        <v>3</v>
      </c>
      <c r="AC50" s="9"/>
      <c r="AD50" s="6">
        <v>1973</v>
      </c>
      <c r="AE50" s="86">
        <v>0.50110350289183414</v>
      </c>
      <c r="AF50" s="9"/>
    </row>
    <row r="51" spans="1:32" x14ac:dyDescent="0.2">
      <c r="A51" s="9"/>
      <c r="B51" s="251">
        <v>1988</v>
      </c>
      <c r="C51" s="259" t="s">
        <v>444</v>
      </c>
      <c r="D51" s="250">
        <f>(S51-V51)/(Q51-V51-X51+AB51)</f>
        <v>0.24173027989821882</v>
      </c>
      <c r="E51" s="250">
        <f>Y51/P51</f>
        <v>0.28277153558052437</v>
      </c>
      <c r="F51" s="250">
        <f>(T51+U51+V51)/S51</f>
        <v>0.25</v>
      </c>
      <c r="G51" s="250">
        <f>(Y51+R51)/P51</f>
        <v>0.351123595505618</v>
      </c>
      <c r="H51" s="250">
        <f>(Y51/Q51)+((S51+W51+Z51)/(Q51+W51+Z51+AB51))</f>
        <v>0.5785480425393581</v>
      </c>
      <c r="I51" s="250">
        <f>V51/Y51</f>
        <v>5.9602649006622516E-2</v>
      </c>
      <c r="J51" s="250">
        <f>(AA51+AB51)/Y51</f>
        <v>4.9668874172185427E-2</v>
      </c>
      <c r="K51" s="250">
        <f>X51/P51</f>
        <v>0.16666666666666666</v>
      </c>
      <c r="L51" s="250">
        <f>(W51+Z51)/P51</f>
        <v>7.2097378277153554E-2</v>
      </c>
      <c r="M51" s="260">
        <f>(1-D51*0.7635+1-E51*0.7562+1-F51*0.75+1-G51*0.7248+1-H51*0.7021+1-I51*0.6285+J51*0.5884+K51*0.5276+1-L51*0.3663)/11.068</f>
        <v>0.52463887764140094</v>
      </c>
      <c r="N51" s="266">
        <f>M51/0.5012*100</f>
        <v>104.6765518039507</v>
      </c>
      <c r="O51" s="286">
        <f>(N51-100)/100*P51*0.6611</f>
        <v>33.019018486280515</v>
      </c>
      <c r="P51" s="261">
        <v>1068</v>
      </c>
      <c r="Q51" s="261">
        <f>P51-W51-Z51-AA51-AB51</f>
        <v>976</v>
      </c>
      <c r="R51" s="261">
        <v>73</v>
      </c>
      <c r="S51" s="261">
        <v>208</v>
      </c>
      <c r="T51" s="261">
        <v>28</v>
      </c>
      <c r="U51" s="261">
        <v>6</v>
      </c>
      <c r="V51" s="261">
        <v>18</v>
      </c>
      <c r="W51" s="261">
        <v>73</v>
      </c>
      <c r="X51" s="261">
        <v>178</v>
      </c>
      <c r="Y51" s="261">
        <f>S51+T51+U51*2+V51*3</f>
        <v>302</v>
      </c>
      <c r="Z51" s="261">
        <v>4</v>
      </c>
      <c r="AA51" s="261">
        <v>9</v>
      </c>
      <c r="AB51" s="261">
        <v>6</v>
      </c>
      <c r="AC51" s="9"/>
      <c r="AD51" s="6">
        <v>1972</v>
      </c>
      <c r="AE51" s="86">
        <v>0.50968604050058719</v>
      </c>
      <c r="AF51" s="9"/>
    </row>
    <row r="52" spans="1:32" x14ac:dyDescent="0.2">
      <c r="A52" s="9"/>
      <c r="B52" s="251">
        <v>1981</v>
      </c>
      <c r="C52" s="259" t="s">
        <v>452</v>
      </c>
      <c r="D52" s="250">
        <f>(S52-V52)/(Q52-V52-X52+AB52)</f>
        <v>0.26008064516129031</v>
      </c>
      <c r="E52" s="250">
        <f>Y52/P52</f>
        <v>0.25197889182058048</v>
      </c>
      <c r="F52" s="250">
        <f>(T52+U52+V52)/S52</f>
        <v>0.18571428571428572</v>
      </c>
      <c r="G52" s="250">
        <f>(Y52+R52)/P52</f>
        <v>0.32453825857519791</v>
      </c>
      <c r="H52" s="250">
        <f>(Y52/Q52)+((S52+W52+Z52)/(Q52+W52+Z52+AB52))</f>
        <v>0.54893268998040279</v>
      </c>
      <c r="I52" s="250">
        <f>V52/Y52</f>
        <v>5.7591623036649213E-2</v>
      </c>
      <c r="J52" s="250">
        <f>(AA52+AB52)/Y52</f>
        <v>6.2827225130890049E-2</v>
      </c>
      <c r="K52" s="250">
        <f>X52/P52</f>
        <v>0.23746701846965698</v>
      </c>
      <c r="L52" s="250">
        <f>(W52+Z52)/P52</f>
        <v>8.1794195250659632E-2</v>
      </c>
      <c r="M52" s="260">
        <f>(1-D52*0.7635+1-E52*0.7562+1-F52*0.75+1-G52*0.7248+1-H52*0.7021+1-I52*0.6285+J52*0.5884+K52*0.5276+1-L52*0.3663)/11.068</f>
        <v>0.53732046377856246</v>
      </c>
      <c r="N52" s="266">
        <f>M52/0.5043*100</f>
        <v>106.54778183195765</v>
      </c>
      <c r="O52" s="286">
        <f>(N52-100)/100*P52*0.6611</f>
        <v>32.811838353832592</v>
      </c>
      <c r="P52" s="261">
        <v>758</v>
      </c>
      <c r="Q52" s="261">
        <f>P52-W52-Z52-AA52-AB52</f>
        <v>684</v>
      </c>
      <c r="R52" s="261">
        <v>55</v>
      </c>
      <c r="S52" s="261">
        <v>140</v>
      </c>
      <c r="T52" s="261">
        <v>12</v>
      </c>
      <c r="U52" s="261">
        <v>3</v>
      </c>
      <c r="V52" s="261">
        <v>11</v>
      </c>
      <c r="W52" s="261">
        <v>61</v>
      </c>
      <c r="X52" s="261">
        <v>180</v>
      </c>
      <c r="Y52" s="261">
        <f>S52+T52+U52*2+V52*3</f>
        <v>191</v>
      </c>
      <c r="Z52" s="261">
        <v>1</v>
      </c>
      <c r="AA52" s="261">
        <v>9</v>
      </c>
      <c r="AB52" s="261">
        <v>3</v>
      </c>
      <c r="AC52" s="9"/>
      <c r="AD52" s="6">
        <v>1971</v>
      </c>
      <c r="AE52" s="86">
        <v>0.50598941876129588</v>
      </c>
      <c r="AF52" s="9"/>
    </row>
    <row r="53" spans="1:32" x14ac:dyDescent="0.2">
      <c r="A53" s="9"/>
      <c r="B53" s="251">
        <v>1980</v>
      </c>
      <c r="C53" s="259" t="s">
        <v>104</v>
      </c>
      <c r="D53" s="250">
        <f>(S53-V53)/(Q53-V53-X53+AB53)</f>
        <v>0.27771010962241172</v>
      </c>
      <c r="E53" s="250">
        <f>Y53/P53</f>
        <v>0.29641693811074921</v>
      </c>
      <c r="F53" s="250">
        <f>(T53+U53+V53)/S53</f>
        <v>0.32098765432098764</v>
      </c>
      <c r="G53" s="250">
        <f>(Y53+R53)/P53</f>
        <v>0.36726384364820847</v>
      </c>
      <c r="H53" s="250">
        <f>(Y53/Q53)+((S53+W53+Z53)/(Q53+W53+Z53+AB53))</f>
        <v>0.60269773054637843</v>
      </c>
      <c r="I53" s="250">
        <f>V53/Y53</f>
        <v>4.1208791208791208E-2</v>
      </c>
      <c r="J53" s="250">
        <f>(AA53+AB53)/Y53</f>
        <v>6.043956043956044E-2</v>
      </c>
      <c r="K53" s="250">
        <f>X53/P53</f>
        <v>0.23289902280130292</v>
      </c>
      <c r="L53" s="250">
        <f>(W53+Z53)/P53</f>
        <v>7.4918566775244305E-2</v>
      </c>
      <c r="M53" s="260">
        <f>(1-D53*0.7635+1-E53*0.7562+1-F53*0.75+1-G53*0.7248+1-H53*0.7021+1-I53*0.6285+J53*0.5884+K53*0.5276+1-L53*0.3663)/11.068</f>
        <v>0.51850632065219304</v>
      </c>
      <c r="N53" s="266">
        <f>M53/0.4984*100</f>
        <v>104.03417348559249</v>
      </c>
      <c r="O53" s="286">
        <f>(N53-100)/100*P53*0.6611</f>
        <v>32.750662881473396</v>
      </c>
      <c r="P53" s="261">
        <v>1228</v>
      </c>
      <c r="Q53" s="261">
        <f>P53-W53-Z53-AA53-AB53</f>
        <v>1114</v>
      </c>
      <c r="R53" s="261">
        <v>87</v>
      </c>
      <c r="S53" s="261">
        <v>243</v>
      </c>
      <c r="T53" s="261">
        <v>50</v>
      </c>
      <c r="U53" s="261">
        <v>13</v>
      </c>
      <c r="V53" s="261">
        <v>15</v>
      </c>
      <c r="W53" s="261">
        <v>90</v>
      </c>
      <c r="X53" s="261">
        <v>286</v>
      </c>
      <c r="Y53" s="261">
        <f>S53+T53+U53*2+V53*3</f>
        <v>364</v>
      </c>
      <c r="Z53" s="261">
        <v>2</v>
      </c>
      <c r="AA53" s="261">
        <v>14</v>
      </c>
      <c r="AB53" s="261">
        <v>8</v>
      </c>
      <c r="AC53" s="9"/>
      <c r="AD53" s="6">
        <v>1970</v>
      </c>
      <c r="AE53" s="86">
        <v>0.49889195516944551</v>
      </c>
      <c r="AF53" s="9"/>
    </row>
    <row r="54" spans="1:32" x14ac:dyDescent="0.2">
      <c r="A54" s="9"/>
      <c r="B54" s="251">
        <v>2017</v>
      </c>
      <c r="C54" s="259" t="s">
        <v>419</v>
      </c>
      <c r="D54" s="250">
        <f>(S54-V54)/(Q54-V54-X54+AB54)</f>
        <v>0.24761904761904763</v>
      </c>
      <c r="E54" s="250">
        <f>Y54/P54</f>
        <v>0.28974358974358977</v>
      </c>
      <c r="F54" s="250">
        <f>(T54+U54+V54)/S54</f>
        <v>0.42857142857142855</v>
      </c>
      <c r="G54" s="250">
        <f>(Y54+R54)/P54</f>
        <v>0.36923076923076925</v>
      </c>
      <c r="H54" s="250">
        <f>(Y54/Q54)+((S54+W54+Z54)/(Q54+W54+Z54+AB54))</f>
        <v>0.56618149564509324</v>
      </c>
      <c r="I54" s="250">
        <f>V54/Y54</f>
        <v>9.7345132743362831E-2</v>
      </c>
      <c r="J54" s="250">
        <f>(AA54+AB54)/Y54</f>
        <v>2.2123893805309734E-2</v>
      </c>
      <c r="K54" s="250">
        <f>X54/P54</f>
        <v>0.34358974358974359</v>
      </c>
      <c r="L54" s="250">
        <f>(W54+Z54)/P54</f>
        <v>8.461538461538462E-2</v>
      </c>
      <c r="M54" s="260">
        <f>(1-D54*0.7635+1-E54*0.7562+1-F54*0.75+1-G54*0.7248+1-H54*0.7021+1-I54*0.6285+J54*0.5884+K54*0.5276+1-L54*0.3663)/11.068</f>
        <v>0.51566636339342931</v>
      </c>
      <c r="N54" s="266">
        <f>M54/0.4849*100</f>
        <v>106.34488830551234</v>
      </c>
      <c r="O54" s="286">
        <f>(N54-100)/100*P54*0.6611</f>
        <v>32.717924138438832</v>
      </c>
      <c r="P54" s="261">
        <v>780</v>
      </c>
      <c r="Q54" s="261">
        <f>P54-W54-Z54-AA54-AB54</f>
        <v>709</v>
      </c>
      <c r="R54" s="261">
        <v>62</v>
      </c>
      <c r="S54" s="261">
        <v>126</v>
      </c>
      <c r="T54" s="261">
        <v>30</v>
      </c>
      <c r="U54" s="261">
        <v>2</v>
      </c>
      <c r="V54" s="261">
        <v>22</v>
      </c>
      <c r="W54" s="261">
        <v>55</v>
      </c>
      <c r="X54" s="261">
        <v>268</v>
      </c>
      <c r="Y54" s="261">
        <f>S54+T54+U54*2+V54*3</f>
        <v>226</v>
      </c>
      <c r="Z54" s="261">
        <v>11</v>
      </c>
      <c r="AA54" s="261">
        <v>4</v>
      </c>
      <c r="AB54" s="261">
        <v>1</v>
      </c>
      <c r="AC54" s="9"/>
      <c r="AD54" s="6">
        <v>1969</v>
      </c>
      <c r="AE54" s="86">
        <v>0.50431385772922577</v>
      </c>
      <c r="AF54" s="9"/>
    </row>
    <row r="55" spans="1:32" x14ac:dyDescent="0.2">
      <c r="A55" s="9"/>
      <c r="B55" s="251">
        <v>1987</v>
      </c>
      <c r="C55" s="259" t="s">
        <v>368</v>
      </c>
      <c r="D55" s="250">
        <f>(S55-V55)/(Q55-V55-X55+AB55)</f>
        <v>0.29209183673469385</v>
      </c>
      <c r="E55" s="250">
        <f>Y55/P55</f>
        <v>0.31719965427830599</v>
      </c>
      <c r="F55" s="250">
        <f>(T55+U55+V55)/S55</f>
        <v>0.30645161290322581</v>
      </c>
      <c r="G55" s="250">
        <f>(Y55+R55)/P55</f>
        <v>0.40363007778738114</v>
      </c>
      <c r="H55" s="250">
        <f>(Y55/Q55)+((S55+W55+Z55)/(Q55+W55+Z55+AB55))</f>
        <v>0.64326260700565341</v>
      </c>
      <c r="I55" s="250">
        <f>V55/Y55</f>
        <v>5.1771117166212535E-2</v>
      </c>
      <c r="J55" s="250">
        <f>(AA55+AB55)/Y55</f>
        <v>2.7247956403269755E-2</v>
      </c>
      <c r="K55" s="250">
        <f>X55/P55</f>
        <v>0.2212618841832325</v>
      </c>
      <c r="L55" s="250">
        <f>(W55+Z55)/P55</f>
        <v>7.9515989628349174E-2</v>
      </c>
      <c r="M55" s="260">
        <f>(1-D55*0.7635+1-E55*0.7562+1-F55*0.75+1-G55*0.7248+1-H55*0.7021+1-I55*0.6285+J55*0.5884+K55*0.5276+1-L55*0.3663)/11.068</f>
        <v>0.50905336566266279</v>
      </c>
      <c r="N55" s="266">
        <f>M55/0.4887*100</f>
        <v>104.16479755732817</v>
      </c>
      <c r="O55" s="286">
        <f>(N55-100)/100*P55*0.6611</f>
        <v>31.856232485781497</v>
      </c>
      <c r="P55" s="261">
        <v>1157</v>
      </c>
      <c r="Q55" s="261">
        <f>P55-W55-Z55-AA55-AB55</f>
        <v>1055</v>
      </c>
      <c r="R55" s="261">
        <v>100</v>
      </c>
      <c r="S55" s="261">
        <v>248</v>
      </c>
      <c r="T55" s="261">
        <v>52</v>
      </c>
      <c r="U55" s="261">
        <v>5</v>
      </c>
      <c r="V55" s="261">
        <v>19</v>
      </c>
      <c r="W55" s="261">
        <v>83</v>
      </c>
      <c r="X55" s="261">
        <v>256</v>
      </c>
      <c r="Y55" s="261">
        <f>S55+T55+U55*2+V55*3</f>
        <v>367</v>
      </c>
      <c r="Z55" s="261">
        <v>9</v>
      </c>
      <c r="AA55" s="261">
        <v>6</v>
      </c>
      <c r="AB55" s="261">
        <v>4</v>
      </c>
      <c r="AC55" s="9"/>
      <c r="AD55" s="6">
        <v>1968</v>
      </c>
      <c r="AE55" s="86">
        <v>0.51458966347400192</v>
      </c>
      <c r="AF55" s="9"/>
    </row>
    <row r="56" spans="1:32" x14ac:dyDescent="0.2">
      <c r="A56" s="9"/>
      <c r="B56" s="251">
        <v>1999</v>
      </c>
      <c r="C56" s="259" t="s">
        <v>41</v>
      </c>
      <c r="D56" s="250">
        <f>(S56-V56)/(Q56-V56-X56+AB56)</f>
        <v>0.29977628635346754</v>
      </c>
      <c r="E56" s="250">
        <f>Y56/P56</f>
        <v>0.33053892215568864</v>
      </c>
      <c r="F56" s="250">
        <f>(T56+U56+V56)/S56</f>
        <v>0.4</v>
      </c>
      <c r="G56" s="250">
        <f>(Y56+R56)/P56</f>
        <v>0.39760479041916169</v>
      </c>
      <c r="H56" s="250">
        <f>(Y56/Q56)+((S56+W56+Z56)/(Q56+W56+Z56+AB56))</f>
        <v>0.60144230769230766</v>
      </c>
      <c r="I56" s="250">
        <f>V56/Y56</f>
        <v>9.420289855072464E-2</v>
      </c>
      <c r="J56" s="250">
        <f>(AA56+AB56)/Y56</f>
        <v>3.2608695652173912E-2</v>
      </c>
      <c r="K56" s="250">
        <f>X56/P56</f>
        <v>0.37485029940119763</v>
      </c>
      <c r="L56" s="250">
        <f>(W56+Z56)/P56</f>
        <v>5.5089820359281436E-2</v>
      </c>
      <c r="M56" s="260">
        <f>(1-D56*0.7635+1-E56*0.7562+1-F56*0.75+1-G56*0.7248+1-H56*0.7021+1-I56*0.6285+J56*0.5884+K56*0.5276+1-L56*0.3663)/11.068</f>
        <v>0.51032550846200708</v>
      </c>
      <c r="N56" s="266">
        <f>M56/0.4826*100</f>
        <v>105.74502869084274</v>
      </c>
      <c r="O56" s="286">
        <f>(N56-100)/100*P56*0.6611</f>
        <v>31.713621203759754</v>
      </c>
      <c r="P56" s="261">
        <v>835</v>
      </c>
      <c r="Q56" s="261">
        <f>P56-W56-Z56-AA56-AB56</f>
        <v>780</v>
      </c>
      <c r="R56" s="261">
        <v>56</v>
      </c>
      <c r="S56" s="261">
        <v>160</v>
      </c>
      <c r="T56" s="261">
        <v>38</v>
      </c>
      <c r="U56" s="261">
        <v>0</v>
      </c>
      <c r="V56" s="261">
        <v>26</v>
      </c>
      <c r="W56" s="261">
        <v>37</v>
      </c>
      <c r="X56" s="261">
        <v>313</v>
      </c>
      <c r="Y56" s="261">
        <f>S56+T56+U56*2+V56*3</f>
        <v>276</v>
      </c>
      <c r="Z56" s="261">
        <v>9</v>
      </c>
      <c r="AA56" s="261">
        <v>3</v>
      </c>
      <c r="AB56" s="261">
        <v>6</v>
      </c>
      <c r="AC56" s="9"/>
      <c r="AD56" s="6">
        <v>1967</v>
      </c>
      <c r="AE56" s="86">
        <v>0.50861975010352867</v>
      </c>
      <c r="AF56" s="9"/>
    </row>
    <row r="57" spans="1:32" x14ac:dyDescent="0.2">
      <c r="A57" s="9"/>
      <c r="B57" s="251">
        <v>1975</v>
      </c>
      <c r="C57" s="259" t="s">
        <v>113</v>
      </c>
      <c r="D57" s="250">
        <f>(S57-V57)/(Q57-V57-X57+AB57)</f>
        <v>0.24195223260643822</v>
      </c>
      <c r="E57" s="250">
        <f>Y57/P57</f>
        <v>0.29179810725552052</v>
      </c>
      <c r="F57" s="250">
        <f>(T57+U57+V57)/S57</f>
        <v>0.2648221343873518</v>
      </c>
      <c r="G57" s="250">
        <f>(Y57+R57)/P57</f>
        <v>0.36041009463722395</v>
      </c>
      <c r="H57" s="250">
        <f>(Y57/Q57)+((S57+W57+Z57)/(Q57+W57+Z57+AB57))</f>
        <v>0.58199536617524972</v>
      </c>
      <c r="I57" s="250">
        <f>V57/Y57</f>
        <v>5.4054054054054057E-2</v>
      </c>
      <c r="J57" s="250">
        <f>(AA57+AB57)/Y57</f>
        <v>3.783783783783784E-2</v>
      </c>
      <c r="K57" s="250">
        <f>X57/P57</f>
        <v>0.15220820189274448</v>
      </c>
      <c r="L57" s="250">
        <f>(W57+Z57)/P57</f>
        <v>6.4668769716088328E-2</v>
      </c>
      <c r="M57" s="260">
        <f>(1-D57*0.7635+1-E57*0.7562+1-F57*0.75+1-G57*0.7248+1-H57*0.7021+1-I57*0.6285+J57*0.5884+K57*0.5276+1-L57*0.3663)/11.068</f>
        <v>0.52141838141539243</v>
      </c>
      <c r="N57" s="266">
        <f>M57/0.5026*100</f>
        <v>103.74420640974779</v>
      </c>
      <c r="O57" s="286">
        <f>(N57-100)/100*P57*0.6611</f>
        <v>31.386738792900466</v>
      </c>
      <c r="P57" s="261">
        <v>1268</v>
      </c>
      <c r="Q57" s="261">
        <f>P57-W57-Z57-AA57-AB57</f>
        <v>1172</v>
      </c>
      <c r="R57" s="261">
        <v>87</v>
      </c>
      <c r="S57" s="261">
        <v>253</v>
      </c>
      <c r="T57" s="261">
        <v>37</v>
      </c>
      <c r="U57" s="261">
        <v>10</v>
      </c>
      <c r="V57" s="261">
        <v>20</v>
      </c>
      <c r="W57" s="261">
        <v>80</v>
      </c>
      <c r="X57" s="261">
        <v>193</v>
      </c>
      <c r="Y57" s="261">
        <f>S57+T57+U57*2+V57*3</f>
        <v>370</v>
      </c>
      <c r="Z57" s="261">
        <v>2</v>
      </c>
      <c r="AA57" s="261">
        <v>10</v>
      </c>
      <c r="AB57" s="261">
        <v>4</v>
      </c>
      <c r="AC57" s="9"/>
      <c r="AD57" s="6">
        <v>1966</v>
      </c>
      <c r="AE57" s="86">
        <v>0.50271934168004262</v>
      </c>
      <c r="AF57" s="9"/>
    </row>
    <row r="58" spans="1:32" x14ac:dyDescent="0.2">
      <c r="A58" s="9"/>
      <c r="B58" s="251">
        <v>1972</v>
      </c>
      <c r="C58" s="259" t="s">
        <v>111</v>
      </c>
      <c r="D58" s="250">
        <f>(S58-V58)/(Q58-V58-X58+AB58)</f>
        <v>0.23959390862944163</v>
      </c>
      <c r="E58" s="250">
        <f>Y58/P58</f>
        <v>0.27137546468401486</v>
      </c>
      <c r="F58" s="250">
        <f>(T58+U58+V58)/S58</f>
        <v>0.27272727272727271</v>
      </c>
      <c r="G58" s="250">
        <f>(Y58+R58)/P58</f>
        <v>0.33011152416356876</v>
      </c>
      <c r="H58" s="250">
        <f>(Y58/Q58)+((S58+W58+Z58)/(Q58+W58+Z58+AB58))</f>
        <v>0.5564488143435512</v>
      </c>
      <c r="I58" s="250">
        <f>V58/Y58</f>
        <v>4.6575342465753428E-2</v>
      </c>
      <c r="J58" s="250">
        <f>(AA58+AB58)/Y58</f>
        <v>4.3835616438356165E-2</v>
      </c>
      <c r="K58" s="250">
        <f>X58/P58</f>
        <v>0.17397769516728626</v>
      </c>
      <c r="L58" s="250">
        <f>(W58+Z58)/P58</f>
        <v>6.9888475836431221E-2</v>
      </c>
      <c r="M58" s="260">
        <f>(1-D58*0.7635+1-E58*0.7562+1-F58*0.75+1-G58*0.7248+1-H58*0.7021+1-I58*0.6285+J58*0.5884+K58*0.5276+1-L58*0.3663)/11.068</f>
        <v>0.52765392860512561</v>
      </c>
      <c r="N58" s="266">
        <f>M58/0.5097*100</f>
        <v>103.52245018738975</v>
      </c>
      <c r="O58" s="286">
        <f>(N58-100)/100*P58*0.6611</f>
        <v>31.320904963981249</v>
      </c>
      <c r="P58" s="261">
        <v>1345</v>
      </c>
      <c r="Q58" s="261">
        <f>P58-W58-Z58-AA58-AB58</f>
        <v>1235</v>
      </c>
      <c r="R58" s="261">
        <v>79</v>
      </c>
      <c r="S58" s="261">
        <v>253</v>
      </c>
      <c r="T58" s="261">
        <v>43</v>
      </c>
      <c r="U58" s="261">
        <v>9</v>
      </c>
      <c r="V58" s="261">
        <v>17</v>
      </c>
      <c r="W58" s="261">
        <v>82</v>
      </c>
      <c r="X58" s="261">
        <v>234</v>
      </c>
      <c r="Y58" s="261">
        <f>S58+T58+U58*2+V58*3</f>
        <v>365</v>
      </c>
      <c r="Z58" s="261">
        <v>12</v>
      </c>
      <c r="AA58" s="261">
        <v>15</v>
      </c>
      <c r="AB58" s="261">
        <v>1</v>
      </c>
      <c r="AC58" s="9"/>
      <c r="AD58" s="6">
        <v>1965</v>
      </c>
      <c r="AE58" s="86">
        <v>0.50387059398973899</v>
      </c>
      <c r="AF58" s="9"/>
    </row>
    <row r="59" spans="1:32" x14ac:dyDescent="0.2">
      <c r="A59" s="9"/>
      <c r="B59" s="251">
        <v>2018</v>
      </c>
      <c r="C59" s="259" t="s">
        <v>417</v>
      </c>
      <c r="D59" s="250">
        <f>(S59-V59)/(Q59-V59-X59+AB59)</f>
        <v>0.24242424242424243</v>
      </c>
      <c r="E59" s="250">
        <f>Y59/P59</f>
        <v>0.27</v>
      </c>
      <c r="F59" s="250">
        <f>(T59+U59+V59)/S59</f>
        <v>0.39285714285714285</v>
      </c>
      <c r="G59" s="250">
        <f>(Y59+R59)/P59</f>
        <v>0.32857142857142857</v>
      </c>
      <c r="H59" s="250">
        <f>(Y59/Q59)+((S59+W59+Z59)/(Q59+W59+Z59+AB59))</f>
        <v>0.55358166189111746</v>
      </c>
      <c r="I59" s="250">
        <f>V59/Y59</f>
        <v>8.4656084656084651E-2</v>
      </c>
      <c r="J59" s="250">
        <f>(AA59+AB59)/Y59</f>
        <v>2.6455026455026454E-2</v>
      </c>
      <c r="K59" s="250">
        <f>X59/P59</f>
        <v>0.31571428571428573</v>
      </c>
      <c r="L59" s="250">
        <f>(W59+Z59)/P59</f>
        <v>9.285714285714286E-2</v>
      </c>
      <c r="M59" s="260">
        <f>(1-D59*0.7635+1-E59*0.7562+1-F59*0.75+1-G59*0.7248+1-H59*0.7021+1-I59*0.6285+J59*0.5884+K59*0.5276+1-L59*0.3663)/11.068</f>
        <v>0.52260490166226803</v>
      </c>
      <c r="N59" s="266">
        <f>M59/0.4898*100</f>
        <v>106.69761160928297</v>
      </c>
      <c r="O59" s="286">
        <f>(N59-100)/100*P59*0.6611</f>
        <v>30.994537244278813</v>
      </c>
      <c r="P59" s="261">
        <v>700</v>
      </c>
      <c r="Q59" s="261">
        <f>P59-W59-Z59-AA59-AB59</f>
        <v>630</v>
      </c>
      <c r="R59" s="261">
        <v>41</v>
      </c>
      <c r="S59" s="261">
        <v>112</v>
      </c>
      <c r="T59" s="261">
        <v>27</v>
      </c>
      <c r="U59" s="261">
        <v>1</v>
      </c>
      <c r="V59" s="261">
        <v>16</v>
      </c>
      <c r="W59" s="261">
        <v>64</v>
      </c>
      <c r="X59" s="261">
        <v>221</v>
      </c>
      <c r="Y59" s="261">
        <f>S59+T59+U59*2+V59*3</f>
        <v>189</v>
      </c>
      <c r="Z59" s="261">
        <v>1</v>
      </c>
      <c r="AA59" s="261">
        <v>2</v>
      </c>
      <c r="AB59" s="261">
        <v>3</v>
      </c>
      <c r="AC59" s="9"/>
      <c r="AD59" s="6">
        <v>1964</v>
      </c>
      <c r="AE59" s="86">
        <v>0.50210778943576273</v>
      </c>
      <c r="AF59" s="9"/>
    </row>
    <row r="60" spans="1:32" x14ac:dyDescent="0.2">
      <c r="A60" s="9"/>
      <c r="B60" s="251">
        <v>2002</v>
      </c>
      <c r="C60" s="259" t="s">
        <v>40</v>
      </c>
      <c r="D60" s="250">
        <f>(S60-V60)/(Q60-V60-X60+AB60)</f>
        <v>0.29131175468483816</v>
      </c>
      <c r="E60" s="250">
        <f>Y60/P60</f>
        <v>0.31594202898550727</v>
      </c>
      <c r="F60" s="250">
        <f>(T60+U60+V60)/S60</f>
        <v>0.37055837563451777</v>
      </c>
      <c r="G60" s="250">
        <f>(Y60+R60)/P60</f>
        <v>0.39130434782608697</v>
      </c>
      <c r="H60" s="250">
        <f>(Y60/Q60)+((S60+W60+Z60)/(Q60+W60+Z60+AB60))</f>
        <v>0.61858266746724555</v>
      </c>
      <c r="I60" s="250">
        <f>V60/Y60</f>
        <v>7.9510703363914373E-2</v>
      </c>
      <c r="J60" s="250">
        <f>(AA60+AB60)/Y60</f>
        <v>1.834862385321101E-2</v>
      </c>
      <c r="K60" s="250">
        <f>X60/P60</f>
        <v>0.32270531400966185</v>
      </c>
      <c r="L60" s="250">
        <f>(W60+Z60)/P60</f>
        <v>8.1159420289855067E-2</v>
      </c>
      <c r="M60" s="260">
        <f>(1-D60*0.7635+1-E60*0.7562+1-F60*0.75+1-G60*0.7248+1-H60*0.7021+1-I60*0.6285+J60*0.5884+K60*0.5276+1-L60*0.3663)/11.068</f>
        <v>0.50995478228682944</v>
      </c>
      <c r="N60" s="266">
        <f>M60/0.4879*100</f>
        <v>104.52034890076438</v>
      </c>
      <c r="O60" s="286">
        <f>(N60-100)/100*P60*0.6611</f>
        <v>30.929967513356651</v>
      </c>
      <c r="P60" s="261">
        <v>1035</v>
      </c>
      <c r="Q60" s="261">
        <f>P60-W60-Z60-AA60-AB60</f>
        <v>945</v>
      </c>
      <c r="R60" s="261">
        <v>78</v>
      </c>
      <c r="S60" s="261">
        <v>197</v>
      </c>
      <c r="T60" s="261">
        <v>42</v>
      </c>
      <c r="U60" s="261">
        <v>5</v>
      </c>
      <c r="V60" s="261">
        <v>26</v>
      </c>
      <c r="W60" s="261">
        <v>71</v>
      </c>
      <c r="X60" s="261">
        <v>334</v>
      </c>
      <c r="Y60" s="261">
        <f>S60+T60+U60*2+V60*3</f>
        <v>327</v>
      </c>
      <c r="Z60" s="261">
        <v>13</v>
      </c>
      <c r="AA60" s="261">
        <v>4</v>
      </c>
      <c r="AB60" s="261">
        <v>2</v>
      </c>
      <c r="AC60" s="9"/>
      <c r="AD60" s="6">
        <v>1963</v>
      </c>
      <c r="AE60" s="86">
        <v>0.50403112303067754</v>
      </c>
      <c r="AF60" s="9"/>
    </row>
    <row r="61" spans="1:32" x14ac:dyDescent="0.2">
      <c r="A61" s="9"/>
      <c r="B61" s="251">
        <v>1996</v>
      </c>
      <c r="C61" s="259" t="s">
        <v>436</v>
      </c>
      <c r="D61" s="250">
        <f>(S61-V61)/(Q61-V61-X61+AB61)</f>
        <v>0.27284105131414266</v>
      </c>
      <c r="E61" s="250">
        <f>Y61/P61</f>
        <v>0.31909090909090909</v>
      </c>
      <c r="F61" s="250">
        <f>(T61+U61+V61)/S61</f>
        <v>0.29831932773109243</v>
      </c>
      <c r="G61" s="250">
        <f>(Y61+R61)/P61</f>
        <v>0.41454545454545455</v>
      </c>
      <c r="H61" s="250">
        <f>(Y61/Q61)+((S61+W61+Z61)/(Q61+W61+Z61+AB61))</f>
        <v>0.6630257149723624</v>
      </c>
      <c r="I61" s="250">
        <f>V61/Y61</f>
        <v>5.6980056980056981E-2</v>
      </c>
      <c r="J61" s="250">
        <f>(AA61+AB61)/Y61</f>
        <v>3.7037037037037035E-2</v>
      </c>
      <c r="K61" s="250">
        <f>X61/P61</f>
        <v>0.16090909090909092</v>
      </c>
      <c r="L61" s="250">
        <f>(W61+Z61)/P61</f>
        <v>0.09</v>
      </c>
      <c r="M61" s="260">
        <f>(1-D61*0.7635+1-E61*0.7562+1-F61*0.75+1-G61*0.7248+1-H61*0.7021+1-I61*0.6285+J61*0.5884+K61*0.5276+1-L61*0.3663)/11.068</f>
        <v>0.50583539747708772</v>
      </c>
      <c r="N61" s="266">
        <f>M61/0.4852*100</f>
        <v>104.25296732833628</v>
      </c>
      <c r="O61" s="286">
        <f>(N61-100)/100*P61*0.6611</f>
        <v>30.928003708394282</v>
      </c>
      <c r="P61" s="261">
        <v>1100</v>
      </c>
      <c r="Q61" s="261">
        <f>P61-W61-Z61-AA61-AB61</f>
        <v>988</v>
      </c>
      <c r="R61" s="261">
        <v>105</v>
      </c>
      <c r="S61" s="261">
        <v>238</v>
      </c>
      <c r="T61" s="261">
        <v>49</v>
      </c>
      <c r="U61" s="261">
        <v>2</v>
      </c>
      <c r="V61" s="261">
        <v>20</v>
      </c>
      <c r="W61" s="261">
        <v>94</v>
      </c>
      <c r="X61" s="261">
        <v>177</v>
      </c>
      <c r="Y61" s="261">
        <f>S61+T61+U61*2+V61*3</f>
        <v>351</v>
      </c>
      <c r="Z61" s="261">
        <v>5</v>
      </c>
      <c r="AA61" s="261">
        <v>5</v>
      </c>
      <c r="AB61" s="261">
        <v>8</v>
      </c>
      <c r="AC61" s="9"/>
      <c r="AD61" s="6">
        <v>1962</v>
      </c>
      <c r="AE61" s="86">
        <v>0.49657584994690301</v>
      </c>
      <c r="AF61" s="9"/>
    </row>
    <row r="62" spans="1:32" x14ac:dyDescent="0.2">
      <c r="A62" s="9"/>
      <c r="B62" s="251">
        <v>1973</v>
      </c>
      <c r="C62" s="259" t="s">
        <v>113</v>
      </c>
      <c r="D62" s="250">
        <f>(S62-V62)/(Q62-V62-X62+AB62)</f>
        <v>0.2335195530726257</v>
      </c>
      <c r="E62" s="250">
        <f>Y62/P62</f>
        <v>0.27478991596638658</v>
      </c>
      <c r="F62" s="250">
        <f>(T62+U62+V62)/S62</f>
        <v>0.27111111111111114</v>
      </c>
      <c r="G62" s="250">
        <f>(Y62+R62)/P62</f>
        <v>0.34705882352941175</v>
      </c>
      <c r="H62" s="250">
        <f>(Y62/Q62)+((S62+W62+Z62)/(Q62+W62+Z62+AB62))</f>
        <v>0.59509454014783802</v>
      </c>
      <c r="I62" s="250">
        <f>V62/Y62</f>
        <v>4.8929663608562692E-2</v>
      </c>
      <c r="J62" s="250">
        <f>(AA62+AB62)/Y62</f>
        <v>3.0581039755351681E-2</v>
      </c>
      <c r="K62" s="250">
        <f>X62/P62</f>
        <v>0.13277310924369748</v>
      </c>
      <c r="L62" s="250">
        <f>(W62+Z62)/P62</f>
        <v>9.7478991596638656E-2</v>
      </c>
      <c r="M62" s="260">
        <f>(1-D62*0.7635+1-E62*0.7562+1-F62*0.75+1-G62*0.7248+1-H62*0.7021+1-I62*0.6285+J62*0.5884+K62*0.5276+1-L62*0.3663)/11.068</f>
        <v>0.52067224155576564</v>
      </c>
      <c r="N62" s="266">
        <f>M62/0.5011*100</f>
        <v>103.90585542920887</v>
      </c>
      <c r="O62" s="286">
        <f>(N62-100)/100*P62*0.6611</f>
        <v>30.727716188574814</v>
      </c>
      <c r="P62" s="261">
        <v>1190</v>
      </c>
      <c r="Q62" s="261">
        <f>P62-W62-Z62-AA62-AB62</f>
        <v>1064</v>
      </c>
      <c r="R62" s="261">
        <v>86</v>
      </c>
      <c r="S62" s="261">
        <v>225</v>
      </c>
      <c r="T62" s="261">
        <v>36</v>
      </c>
      <c r="U62" s="261">
        <v>9</v>
      </c>
      <c r="V62" s="261">
        <v>16</v>
      </c>
      <c r="W62" s="261">
        <v>113</v>
      </c>
      <c r="X62" s="261">
        <v>158</v>
      </c>
      <c r="Y62" s="261">
        <f>S62+T62+U62*2+V62*3</f>
        <v>327</v>
      </c>
      <c r="Z62" s="261">
        <v>3</v>
      </c>
      <c r="AA62" s="261">
        <v>5</v>
      </c>
      <c r="AB62" s="261">
        <v>5</v>
      </c>
      <c r="AC62" s="9"/>
      <c r="AD62" s="6">
        <v>1961</v>
      </c>
      <c r="AE62" s="86">
        <v>0.49457694453486561</v>
      </c>
      <c r="AF62" s="9"/>
    </row>
    <row r="63" spans="1:32" x14ac:dyDescent="0.2">
      <c r="A63" s="9"/>
      <c r="B63" s="251">
        <v>2006</v>
      </c>
      <c r="C63" s="259" t="s">
        <v>431</v>
      </c>
      <c r="D63" s="250">
        <f>(S63-V63)/(Q63-V63-X63+AB63)</f>
        <v>0.29088277858176553</v>
      </c>
      <c r="E63" s="250">
        <f>Y63/P63</f>
        <v>0.33368421052631581</v>
      </c>
      <c r="F63" s="250">
        <f>(T63+U63+V63)/S63</f>
        <v>0.30092592592592593</v>
      </c>
      <c r="G63" s="250">
        <f>(Y63+R63)/P63</f>
        <v>0.42947368421052634</v>
      </c>
      <c r="H63" s="250">
        <f>(Y63/Q63)+((S63+W63+Z63)/(Q63+W63+Z63+AB63))</f>
        <v>0.65040953811854796</v>
      </c>
      <c r="I63" s="250">
        <f>V63/Y63</f>
        <v>4.7318611987381701E-2</v>
      </c>
      <c r="J63" s="250">
        <f>(AA63+AB63)/Y63</f>
        <v>5.0473186119873815E-2</v>
      </c>
      <c r="K63" s="250">
        <f>X63/P63</f>
        <v>0.18736842105263157</v>
      </c>
      <c r="L63" s="250">
        <f>(W63+Z63)/P63</f>
        <v>5.894736842105263E-2</v>
      </c>
      <c r="M63" s="260">
        <f>(1-D63*0.7635+1-E63*0.7562+1-F63*0.75+1-G63*0.7248+1-H63*0.7021+1-I63*0.6285+J63*0.5884+K63*0.5276+1-L63*0.3663)/11.068</f>
        <v>0.50679177123718444</v>
      </c>
      <c r="N63" s="266">
        <f>M63/0.4833*100</f>
        <v>104.86070168367152</v>
      </c>
      <c r="O63" s="286">
        <f>(N63-100)/100*P63*0.6611</f>
        <v>30.52739388921481</v>
      </c>
      <c r="P63" s="261">
        <v>950</v>
      </c>
      <c r="Q63" s="261">
        <f>P63-W63-Z63-AA63-AB63</f>
        <v>878</v>
      </c>
      <c r="R63" s="261">
        <v>91</v>
      </c>
      <c r="S63" s="261">
        <v>216</v>
      </c>
      <c r="T63" s="261">
        <v>44</v>
      </c>
      <c r="U63" s="261">
        <v>6</v>
      </c>
      <c r="V63" s="261">
        <v>15</v>
      </c>
      <c r="W63" s="261">
        <v>50</v>
      </c>
      <c r="X63" s="261">
        <v>178</v>
      </c>
      <c r="Y63" s="261">
        <f>S63+T63+U63*2+V63*3</f>
        <v>317</v>
      </c>
      <c r="Z63" s="261">
        <v>6</v>
      </c>
      <c r="AA63" s="261">
        <v>10</v>
      </c>
      <c r="AB63" s="261">
        <v>6</v>
      </c>
      <c r="AC63" s="9"/>
      <c r="AD63" s="6">
        <v>1960</v>
      </c>
      <c r="AE63" s="86">
        <v>0.49838787921638944</v>
      </c>
      <c r="AF63" s="9"/>
    </row>
    <row r="64" spans="1:32" x14ac:dyDescent="0.2">
      <c r="A64" s="9"/>
      <c r="B64" s="251">
        <v>1979</v>
      </c>
      <c r="C64" s="259" t="s">
        <v>59</v>
      </c>
      <c r="D64" s="250">
        <f>(S64-V64)/(Q64-V64-X64+AB64)</f>
        <v>0.25396825396825395</v>
      </c>
      <c r="E64" s="250">
        <f>Y64/P64</f>
        <v>0.21836228287841192</v>
      </c>
      <c r="F64" s="250">
        <f>(T64+U64+V64)/S64</f>
        <v>0.19402985074626866</v>
      </c>
      <c r="G64" s="250">
        <f>(Y64+R64)/P64</f>
        <v>0.29032258064516131</v>
      </c>
      <c r="H64" s="250">
        <f>(Y64/Q64)+((S64+W64+Z64)/(Q64+W64+Z64+AB64))</f>
        <v>0.49313759009747626</v>
      </c>
      <c r="I64" s="250">
        <f>V64/Y64</f>
        <v>3.4090909090909088E-2</v>
      </c>
      <c r="J64" s="291">
        <f>(AA64+AB64)/Y64</f>
        <v>0.11363636363636363</v>
      </c>
      <c r="K64" s="250">
        <f>X64/P64</f>
        <v>0.27295285359801491</v>
      </c>
      <c r="L64" s="250">
        <f>(W64+Z64)/P64</f>
        <v>7.9404466501240695E-2</v>
      </c>
      <c r="M64" s="260">
        <f>(1-D64*0.7635+1-E64*0.7562+1-F64*0.75+1-G64*0.7248+1-H64*0.7021+1-I64*0.6285+J64*0.5884+K64*0.5276+1-L64*0.3663)/11.068</f>
        <v>0.55106172323299052</v>
      </c>
      <c r="N64" s="266">
        <f>M64/0.4951*100</f>
        <v>111.30311517531621</v>
      </c>
      <c r="O64" s="286">
        <f>(N64-100)/100*P64*0.6611</f>
        <v>30.114132452878227</v>
      </c>
      <c r="P64" s="261">
        <v>403</v>
      </c>
      <c r="Q64" s="261">
        <f>P64-W64-Z64-AA64-AB64</f>
        <v>361</v>
      </c>
      <c r="R64" s="261">
        <v>29</v>
      </c>
      <c r="S64" s="261">
        <v>67</v>
      </c>
      <c r="T64" s="261">
        <v>8</v>
      </c>
      <c r="U64" s="261">
        <v>2</v>
      </c>
      <c r="V64" s="261">
        <v>3</v>
      </c>
      <c r="W64" s="261">
        <v>32</v>
      </c>
      <c r="X64" s="261">
        <v>110</v>
      </c>
      <c r="Y64" s="261">
        <f>S64+T64+U64*2+V64*3</f>
        <v>88</v>
      </c>
      <c r="Z64" s="261">
        <v>0</v>
      </c>
      <c r="AA64" s="261">
        <v>6</v>
      </c>
      <c r="AB64" s="261">
        <v>4</v>
      </c>
      <c r="AC64" s="9"/>
      <c r="AD64" s="6">
        <v>1959</v>
      </c>
      <c r="AE64" s="86">
        <v>0.49670692470071154</v>
      </c>
      <c r="AF64" s="9"/>
    </row>
    <row r="65" spans="1:32" x14ac:dyDescent="0.2">
      <c r="A65" s="9"/>
      <c r="B65" s="251">
        <v>2008</v>
      </c>
      <c r="C65" s="259" t="s">
        <v>427</v>
      </c>
      <c r="D65" s="250">
        <f>(S65-V65)/(Q65-V65-X65+AB65)</f>
        <v>0.30239520958083832</v>
      </c>
      <c r="E65" s="250">
        <f>Y65/P65</f>
        <v>0.33108866442199775</v>
      </c>
      <c r="F65" s="250">
        <f>(T65+U65+V65)/S65</f>
        <v>0.23831775700934579</v>
      </c>
      <c r="G65" s="250">
        <f>(Y65+R65)/P65</f>
        <v>0.40740740740740738</v>
      </c>
      <c r="H65" s="250">
        <f>(Y65/Q65)+((S65+W65+Z65)/(Q65+W65+Z65+AB65))</f>
        <v>0.63287750188251257</v>
      </c>
      <c r="I65" s="250">
        <f>V65/Y65</f>
        <v>4.0677966101694912E-2</v>
      </c>
      <c r="J65" s="250">
        <f>(AA65+AB65)/Y65</f>
        <v>1.6949152542372881E-2</v>
      </c>
      <c r="K65" s="250">
        <f>X65/P65</f>
        <v>0.19079685746352412</v>
      </c>
      <c r="L65" s="250">
        <f>(W65+Z65)/P65</f>
        <v>4.3771043771043773E-2</v>
      </c>
      <c r="M65" s="260">
        <f>(1-D65*0.7635+1-E65*0.7562+1-F65*0.75+1-G65*0.7248+1-H65*0.7021+1-I65*0.6285+J65*0.5884+K65*0.5276+1-L65*0.3663)/11.068</f>
        <v>0.51223521657543769</v>
      </c>
      <c r="N65" s="266">
        <f>M65/0.4878*100</f>
        <v>105.00926949065963</v>
      </c>
      <c r="O65" s="286">
        <f>(N65-100)/100*P65*0.6611</f>
        <v>29.506606017050995</v>
      </c>
      <c r="P65" s="261">
        <v>891</v>
      </c>
      <c r="Q65" s="261">
        <f>P65-W65-Z65-AA65-AB65</f>
        <v>847</v>
      </c>
      <c r="R65" s="261">
        <v>68</v>
      </c>
      <c r="S65" s="261">
        <v>214</v>
      </c>
      <c r="T65" s="261">
        <v>33</v>
      </c>
      <c r="U65" s="261">
        <v>6</v>
      </c>
      <c r="V65" s="261">
        <v>12</v>
      </c>
      <c r="W65" s="261">
        <v>34</v>
      </c>
      <c r="X65" s="261">
        <v>170</v>
      </c>
      <c r="Y65" s="261">
        <f>S65+T65+U65*2+V65*3</f>
        <v>295</v>
      </c>
      <c r="Z65" s="261">
        <v>5</v>
      </c>
      <c r="AA65" s="261">
        <v>2</v>
      </c>
      <c r="AB65" s="261">
        <v>3</v>
      </c>
      <c r="AC65" s="9"/>
      <c r="AD65" s="6">
        <v>1958</v>
      </c>
      <c r="AE65" s="86">
        <v>0.49618881619385957</v>
      </c>
      <c r="AF65" s="9"/>
    </row>
    <row r="66" spans="1:32" x14ac:dyDescent="0.2">
      <c r="A66" s="9"/>
      <c r="B66" s="251">
        <v>2005</v>
      </c>
      <c r="C66" s="259" t="s">
        <v>433</v>
      </c>
      <c r="D66" s="250">
        <f>(S66-V66)/(Q66-V66-X66+AB66)</f>
        <v>0.28139183055975792</v>
      </c>
      <c r="E66" s="250">
        <f>Y66/P66</f>
        <v>0.32528856243441762</v>
      </c>
      <c r="F66" s="250">
        <f>(T66+U66+V66)/S66</f>
        <v>0.32843137254901961</v>
      </c>
      <c r="G66" s="250">
        <f>(Y66+R66)/P66</f>
        <v>0.41133263378803775</v>
      </c>
      <c r="H66" s="250">
        <f>(Y66/Q66)+((S66+W66+Z66)/(Q66+W66+Z66+AB66))</f>
        <v>0.62300975860297891</v>
      </c>
      <c r="I66" s="250">
        <f>V66/Y66</f>
        <v>5.8064516129032261E-2</v>
      </c>
      <c r="J66" s="250">
        <f>(AA66+AB66)/Y66</f>
        <v>4.5161290322580643E-2</v>
      </c>
      <c r="K66" s="250">
        <f>X66/P66</f>
        <v>0.22350472193074503</v>
      </c>
      <c r="L66" s="250">
        <f>(W66+Z66)/P66</f>
        <v>5.6663168940188878E-2</v>
      </c>
      <c r="M66" s="260">
        <f>(1-D66*0.7635+1-E66*0.7562+1-F66*0.75+1-G66*0.7248+1-H66*0.7021+1-I66*0.6285+J66*0.5884+K66*0.5276+1-L66*0.3663)/11.068</f>
        <v>0.5099879183144933</v>
      </c>
      <c r="N66" s="266">
        <f>M66/0.4873*100</f>
        <v>104.6558420509939</v>
      </c>
      <c r="O66" s="286">
        <f>(N66-100)/100*P66*0.6611</f>
        <v>29.333122524561983</v>
      </c>
      <c r="P66" s="261">
        <v>953</v>
      </c>
      <c r="Q66" s="261">
        <f>P66-W66-Z66-AA66-AB66</f>
        <v>885</v>
      </c>
      <c r="R66" s="261">
        <v>82</v>
      </c>
      <c r="S66" s="261">
        <v>204</v>
      </c>
      <c r="T66" s="261">
        <v>46</v>
      </c>
      <c r="U66" s="261">
        <v>3</v>
      </c>
      <c r="V66" s="261">
        <v>18</v>
      </c>
      <c r="W66" s="261">
        <v>51</v>
      </c>
      <c r="X66" s="261">
        <v>213</v>
      </c>
      <c r="Y66" s="261">
        <f>S66+T66+U66*2+V66*3</f>
        <v>310</v>
      </c>
      <c r="Z66" s="261">
        <v>3</v>
      </c>
      <c r="AA66" s="261">
        <v>7</v>
      </c>
      <c r="AB66" s="261">
        <v>7</v>
      </c>
      <c r="AC66" s="9"/>
      <c r="AD66" s="6">
        <v>1957</v>
      </c>
      <c r="AE66" s="86">
        <v>0.49729996288773848</v>
      </c>
      <c r="AF66" s="9"/>
    </row>
    <row r="67" spans="1:32" x14ac:dyDescent="0.2">
      <c r="A67" s="9"/>
      <c r="B67" s="251">
        <v>2006</v>
      </c>
      <c r="C67" s="259" t="s">
        <v>430</v>
      </c>
      <c r="D67" s="250">
        <f>(S67-V67)/(Q67-V67-X67+AB67)</f>
        <v>0.271356783919598</v>
      </c>
      <c r="E67" s="250">
        <f>Y67/P67</f>
        <v>0.33586132177681471</v>
      </c>
      <c r="F67" s="250">
        <f>(T67+U67+V67)/S67</f>
        <v>0.38172043010752688</v>
      </c>
      <c r="G67" s="250">
        <f>(Y67+R67)/P67</f>
        <v>0.42145178764897073</v>
      </c>
      <c r="H67" s="250">
        <f>(Y67/Q67)+((S67+W67+Z67)/(Q67+W67+Z67+AB67))</f>
        <v>0.61808024249355431</v>
      </c>
      <c r="I67" s="250">
        <f>V67/Y67</f>
        <v>7.7419354838709681E-2</v>
      </c>
      <c r="J67" s="250">
        <f>(AA67+AB67)/Y67</f>
        <v>3.2258064516129031E-2</v>
      </c>
      <c r="K67" s="250">
        <f>X67/P67</f>
        <v>0.26543878656554715</v>
      </c>
      <c r="L67" s="250">
        <f>(W67+Z67)/P67</f>
        <v>5.5254604550379199E-2</v>
      </c>
      <c r="M67" s="260">
        <f>(1-D67*0.7635+1-E67*0.7562+1-F67*0.75+1-G67*0.7248+1-H67*0.7021+1-I67*0.6285+J67*0.5884+K67*0.5276+1-L67*0.3663)/11.068</f>
        <v>0.50625735184466547</v>
      </c>
      <c r="N67" s="266">
        <f>M67/0.4833*100</f>
        <v>104.75012452817411</v>
      </c>
      <c r="O67" s="286">
        <f>(N67-100)/100*P67*0.6611</f>
        <v>28.985036615065606</v>
      </c>
      <c r="P67" s="261">
        <v>923</v>
      </c>
      <c r="Q67" s="261">
        <f>P67-W67-Z67-AA67-AB67</f>
        <v>862</v>
      </c>
      <c r="R67" s="261">
        <v>79</v>
      </c>
      <c r="S67" s="261">
        <v>186</v>
      </c>
      <c r="T67" s="261">
        <v>42</v>
      </c>
      <c r="U67" s="261">
        <v>5</v>
      </c>
      <c r="V67" s="261">
        <v>24</v>
      </c>
      <c r="W67" s="261">
        <v>47</v>
      </c>
      <c r="X67" s="261">
        <v>245</v>
      </c>
      <c r="Y67" s="261">
        <f>S67+T67+U67*2+V67*3</f>
        <v>310</v>
      </c>
      <c r="Z67" s="261">
        <v>4</v>
      </c>
      <c r="AA67" s="261">
        <v>6</v>
      </c>
      <c r="AB67" s="261">
        <v>4</v>
      </c>
      <c r="AC67" s="9"/>
      <c r="AD67" s="6">
        <v>1956</v>
      </c>
      <c r="AE67" s="86">
        <v>0.49512058032881812</v>
      </c>
      <c r="AF67" s="9"/>
    </row>
    <row r="68" spans="1:32" x14ac:dyDescent="0.2">
      <c r="A68" s="9"/>
      <c r="B68" s="251">
        <v>1959</v>
      </c>
      <c r="C68" s="259" t="s">
        <v>172</v>
      </c>
      <c r="D68" s="250">
        <f>(S68-V68)/(Q68-V68-X68+AB68)</f>
        <v>0.2449528936742934</v>
      </c>
      <c r="E68" s="250">
        <f>Y68/P68</f>
        <v>0.27627906976744188</v>
      </c>
      <c r="F68" s="250">
        <f>(T68+U68+V68)/S68</f>
        <v>0.26732673267326734</v>
      </c>
      <c r="G68" s="250">
        <f>(Y68+R68)/P68</f>
        <v>0.37488372093023253</v>
      </c>
      <c r="H68" s="250">
        <f>(Y68/Q68)+((S68+W68+Z68)/(Q68+W68+Z68+AB68))</f>
        <v>0.62571890726096324</v>
      </c>
      <c r="I68" s="250">
        <f>V68/Y68</f>
        <v>6.7340067340067339E-2</v>
      </c>
      <c r="J68" s="250">
        <f>(AA68+AB68)/Y68</f>
        <v>3.7037037037037035E-2</v>
      </c>
      <c r="K68" s="250">
        <f>X68/P68</f>
        <v>0.16651162790697674</v>
      </c>
      <c r="L68" s="250">
        <f>(W68+Z68)/P68</f>
        <v>0.11906976744186047</v>
      </c>
      <c r="M68" s="260">
        <f>(1-D68*0.7635+1-E68*0.7562+1-F68*0.75+1-G68*0.7248+1-H68*0.7021+1-I68*0.6285+J68*0.5884+K68*0.5276+1-L68*0.3663)/11.068</f>
        <v>0.51646493108398628</v>
      </c>
      <c r="N68" s="266">
        <f>M68/0.4967*100</f>
        <v>103.97924926192597</v>
      </c>
      <c r="O68" s="286">
        <f>(N68-100)/100*P68*0.6611</f>
        <v>28.279828135887048</v>
      </c>
      <c r="P68" s="261">
        <v>1075</v>
      </c>
      <c r="Q68" s="261">
        <f>P68-W68-Z68-AA68-AB68</f>
        <v>936</v>
      </c>
      <c r="R68" s="261">
        <v>106</v>
      </c>
      <c r="S68" s="261">
        <v>202</v>
      </c>
      <c r="T68" s="261">
        <v>33</v>
      </c>
      <c r="U68" s="261">
        <v>1</v>
      </c>
      <c r="V68" s="261">
        <v>20</v>
      </c>
      <c r="W68" s="261">
        <v>119</v>
      </c>
      <c r="X68" s="261">
        <v>179</v>
      </c>
      <c r="Y68" s="261">
        <f>S68+T68+U68*2+V68*3</f>
        <v>297</v>
      </c>
      <c r="Z68" s="261">
        <v>9</v>
      </c>
      <c r="AA68" s="261">
        <v>5</v>
      </c>
      <c r="AB68" s="261">
        <v>6</v>
      </c>
      <c r="AC68" s="9"/>
      <c r="AD68" s="39"/>
      <c r="AE68" s="39"/>
      <c r="AF68" s="9"/>
    </row>
    <row r="69" spans="1:32" x14ac:dyDescent="0.2">
      <c r="A69" s="9"/>
      <c r="B69" s="251">
        <v>1962</v>
      </c>
      <c r="C69" s="259" t="s">
        <v>130</v>
      </c>
      <c r="D69" s="250">
        <f>(S69-V69)/(Q69-V69-X69+AB69)</f>
        <v>0.26759061833688702</v>
      </c>
      <c r="E69" s="250">
        <f>Y69/P69</f>
        <v>0.3103180760279286</v>
      </c>
      <c r="F69" s="250">
        <f>(T69+U69+V69)/S69</f>
        <v>0.28676470588235292</v>
      </c>
      <c r="G69" s="250">
        <f>(Y69+R69)/P69</f>
        <v>0.40496508921644686</v>
      </c>
      <c r="H69" s="250">
        <f>(Y69/Q69)+((S69+W69+Z69)/(Q69+W69+Z69+AB69))</f>
        <v>0.61958399261603381</v>
      </c>
      <c r="I69" s="250">
        <f>V69/Y69</f>
        <v>5.2499999999999998E-2</v>
      </c>
      <c r="J69" s="250">
        <f>(AA69+AB69)/Y69</f>
        <v>3.7499999999999999E-2</v>
      </c>
      <c r="K69" s="250">
        <f>X69/P69</f>
        <v>0.1799844840961986</v>
      </c>
      <c r="L69" s="250">
        <f>(W69+Z69)/P69</f>
        <v>6.9045771916214124E-2</v>
      </c>
      <c r="M69" s="260">
        <f>(1-D69*0.7635+1-E69*0.7562+1-F69*0.75+1-G69*0.7248+1-H69*0.7021+1-I69*0.6285+J69*0.5884+K69*0.5276+1-L69*0.3663)/11.068</f>
        <v>0.5128448666490919</v>
      </c>
      <c r="N69" s="266">
        <f>M69/0.4966*100</f>
        <v>103.27121760956342</v>
      </c>
      <c r="O69" s="286">
        <f>(N69-100)/100*P69*0.6611</f>
        <v>27.875939286085853</v>
      </c>
      <c r="P69" s="261">
        <v>1289</v>
      </c>
      <c r="Q69" s="261">
        <f>P69-W69-Z69-AA69-AB69</f>
        <v>1185</v>
      </c>
      <c r="R69" s="261">
        <v>122</v>
      </c>
      <c r="S69" s="261">
        <v>272</v>
      </c>
      <c r="T69" s="261">
        <v>49</v>
      </c>
      <c r="U69" s="261">
        <v>8</v>
      </c>
      <c r="V69" s="261">
        <v>21</v>
      </c>
      <c r="W69" s="261">
        <v>78</v>
      </c>
      <c r="X69" s="261">
        <v>232</v>
      </c>
      <c r="Y69" s="261">
        <f>S69+T69+U69*2+V69*3</f>
        <v>400</v>
      </c>
      <c r="Z69" s="261">
        <v>11</v>
      </c>
      <c r="AA69" s="261">
        <v>9</v>
      </c>
      <c r="AB69" s="261">
        <v>6</v>
      </c>
      <c r="AC69" s="9"/>
      <c r="AD69" s="37"/>
      <c r="AE69" s="37"/>
    </row>
    <row r="70" spans="1:32" x14ac:dyDescent="0.2">
      <c r="A70" s="9"/>
      <c r="B70" s="251">
        <v>1983</v>
      </c>
      <c r="C70" s="259" t="s">
        <v>450</v>
      </c>
      <c r="D70" s="250">
        <f>(S70-V70)/(Q70-V70-X70+AB70)</f>
        <v>0.2857142857142857</v>
      </c>
      <c r="E70" s="250">
        <f>Y70/P70</f>
        <v>0.30925737538148523</v>
      </c>
      <c r="F70" s="250">
        <f>(T70+U70+V70)/S70</f>
        <v>0.20524017467248909</v>
      </c>
      <c r="G70" s="250">
        <f>(Y70+R70)/P70</f>
        <v>0.38758901322482198</v>
      </c>
      <c r="H70" s="250">
        <f>(Y70/Q70)+((S70+W70+Z70)/(Q70+W70+Z70+AB70))</f>
        <v>0.62557377049180329</v>
      </c>
      <c r="I70" s="250">
        <f>V70/Y70</f>
        <v>2.9605263157894735E-2</v>
      </c>
      <c r="J70" s="250">
        <f>(AA70+AB70)/Y70</f>
        <v>3.6184210526315791E-2</v>
      </c>
      <c r="K70" s="250">
        <f>X70/P70</f>
        <v>0.14140386571719227</v>
      </c>
      <c r="L70" s="250">
        <f>(W70+Z70)/P70</f>
        <v>5.7985757884028481E-2</v>
      </c>
      <c r="M70" s="260">
        <f>(1-D70*0.7635+1-E70*0.7562+1-F70*0.75+1-G70*0.7248+1-H70*0.7021+1-I70*0.6285+J70*0.5884+K70*0.5276+1-L70*0.3663)/11.068</f>
        <v>0.51770646020600553</v>
      </c>
      <c r="N70" s="266">
        <f>M70/0.4973*100</f>
        <v>104.10345067484525</v>
      </c>
      <c r="O70" s="286">
        <f>(N70-100)/100*P70*0.6611</f>
        <v>26.666737900408108</v>
      </c>
      <c r="P70" s="261">
        <v>983</v>
      </c>
      <c r="Q70" s="261">
        <f>P70-W70-Z70-AA70-AB70</f>
        <v>915</v>
      </c>
      <c r="R70" s="261">
        <v>77</v>
      </c>
      <c r="S70" s="261">
        <v>229</v>
      </c>
      <c r="T70" s="261">
        <v>28</v>
      </c>
      <c r="U70" s="261">
        <v>10</v>
      </c>
      <c r="V70" s="261">
        <v>9</v>
      </c>
      <c r="W70" s="261">
        <v>53</v>
      </c>
      <c r="X70" s="261">
        <v>139</v>
      </c>
      <c r="Y70" s="261">
        <f>S70+T70+U70*2+V70*3</f>
        <v>304</v>
      </c>
      <c r="Z70" s="261">
        <v>4</v>
      </c>
      <c r="AA70" s="261">
        <v>8</v>
      </c>
      <c r="AB70" s="261">
        <v>3</v>
      </c>
      <c r="AC70" s="9"/>
      <c r="AD70" s="37"/>
      <c r="AE70" s="88"/>
    </row>
    <row r="71" spans="1:32" x14ac:dyDescent="0.2">
      <c r="A71" s="9"/>
      <c r="B71" s="251">
        <v>1976</v>
      </c>
      <c r="C71" s="259" t="s">
        <v>457</v>
      </c>
      <c r="D71" s="250">
        <f>(S71-V71)/(Q71-V71-X71+AB71)</f>
        <v>0.24115456238361266</v>
      </c>
      <c r="E71" s="250">
        <f>Y71/P71</f>
        <v>0.29176658673061551</v>
      </c>
      <c r="F71" s="250">
        <f>(T71+U71+V71)/S71</f>
        <v>0.21167883211678831</v>
      </c>
      <c r="G71" s="250">
        <f>(Y71+R71)/P71</f>
        <v>0.37889688249400477</v>
      </c>
      <c r="H71" s="250">
        <f>(Y71/Q71)+((S71+W71+Z71)/(Q71+W71+Z71+AB71))</f>
        <v>0.57654011372383485</v>
      </c>
      <c r="I71" s="250">
        <f>V71/Y71</f>
        <v>4.1095890410958902E-2</v>
      </c>
      <c r="J71" s="250">
        <f>(AA71+AB71)/Y71</f>
        <v>6.575342465753424E-2</v>
      </c>
      <c r="K71" s="250">
        <f>X71/P71</f>
        <v>7.4340527577937646E-2</v>
      </c>
      <c r="L71" s="250">
        <f>(W71+Z71)/P71</f>
        <v>4.3165467625899283E-2</v>
      </c>
      <c r="M71" s="260">
        <f>(1-D71*0.7635+1-E71*0.7562+1-F71*0.75+1-G71*0.7248+1-H71*0.7021+1-I71*0.6285+J71*0.5884+K71*0.5276+1-L71*0.3663)/11.068</f>
        <v>0.52343181242081938</v>
      </c>
      <c r="N71" s="266">
        <f>M71/0.5072*100</f>
        <v>103.20027847413631</v>
      </c>
      <c r="O71" s="286">
        <f>(N71-100)/100*P71*0.6611</f>
        <v>26.467458281636461</v>
      </c>
      <c r="P71" s="261">
        <v>1251</v>
      </c>
      <c r="Q71" s="261">
        <f>P71-W71-Z71-AA71-AB71</f>
        <v>1173</v>
      </c>
      <c r="R71" s="261">
        <v>109</v>
      </c>
      <c r="S71" s="261">
        <v>274</v>
      </c>
      <c r="T71" s="261">
        <v>40</v>
      </c>
      <c r="U71" s="261">
        <v>3</v>
      </c>
      <c r="V71" s="261">
        <v>15</v>
      </c>
      <c r="W71" s="261">
        <v>50</v>
      </c>
      <c r="X71" s="261">
        <v>93</v>
      </c>
      <c r="Y71" s="261">
        <f>S71+T71+U71*2+V71*3</f>
        <v>365</v>
      </c>
      <c r="Z71" s="261">
        <v>4</v>
      </c>
      <c r="AA71" s="261">
        <v>15</v>
      </c>
      <c r="AB71" s="261">
        <v>9</v>
      </c>
      <c r="AC71" s="9"/>
      <c r="AD71" s="37"/>
      <c r="AE71" s="37"/>
    </row>
    <row r="72" spans="1:32" x14ac:dyDescent="0.2">
      <c r="A72" s="9"/>
      <c r="B72" s="251">
        <v>1991</v>
      </c>
      <c r="C72" s="259" t="s">
        <v>368</v>
      </c>
      <c r="D72" s="250">
        <f>(S72-V72)/(Q72-V72-X72+AB72)</f>
        <v>0.27382550335570471</v>
      </c>
      <c r="E72" s="250">
        <f>Y72/P72</f>
        <v>0.30269266480965645</v>
      </c>
      <c r="F72" s="250">
        <f>(T72+U72+V72)/S72</f>
        <v>0.31506849315068491</v>
      </c>
      <c r="G72" s="250">
        <f>(Y72+R72)/P72</f>
        <v>0.37697307335190344</v>
      </c>
      <c r="H72" s="250">
        <f>(Y72/Q72)+((S72+W72+Z72)/(Q72+W72+Z72+AB72))</f>
        <v>0.59813935644751348</v>
      </c>
      <c r="I72" s="250">
        <f>V72/Y72</f>
        <v>4.6012269938650305E-2</v>
      </c>
      <c r="J72" s="250">
        <f>(AA72+AB72)/Y72</f>
        <v>4.2944785276073622E-2</v>
      </c>
      <c r="K72" s="250">
        <f>X72/P72</f>
        <v>0.22376973073351902</v>
      </c>
      <c r="L72" s="250">
        <f>(W72+Z72)/P72</f>
        <v>6.4995357474466109E-2</v>
      </c>
      <c r="M72" s="260">
        <f>(1-D72*0.7635+1-E72*0.7562+1-F72*0.75+1-G72*0.7248+1-H72*0.7021+1-I72*0.6285+J72*0.5884+K72*0.5276+1-L72*0.3663)/11.068</f>
        <v>0.51709035507415002</v>
      </c>
      <c r="N72" s="266">
        <f>M72/0.4986*100</f>
        <v>103.70845468795629</v>
      </c>
      <c r="O72" s="286">
        <f>(N72-100)/100*P72*0.6611</f>
        <v>26.404371675619121</v>
      </c>
      <c r="P72" s="261">
        <v>1077</v>
      </c>
      <c r="Q72" s="261">
        <f>P72-W72-Z72-AA72-AB72</f>
        <v>993</v>
      </c>
      <c r="R72" s="261">
        <v>80</v>
      </c>
      <c r="S72" s="261">
        <v>219</v>
      </c>
      <c r="T72" s="261">
        <v>46</v>
      </c>
      <c r="U72" s="261">
        <v>8</v>
      </c>
      <c r="V72" s="261">
        <v>15</v>
      </c>
      <c r="W72" s="261">
        <v>65</v>
      </c>
      <c r="X72" s="261">
        <v>241</v>
      </c>
      <c r="Y72" s="261">
        <f>S72+T72+U72*2+V72*3</f>
        <v>326</v>
      </c>
      <c r="Z72" s="261">
        <v>5</v>
      </c>
      <c r="AA72" s="261">
        <v>6</v>
      </c>
      <c r="AB72" s="261">
        <v>8</v>
      </c>
      <c r="AC72" s="9"/>
      <c r="AD72" s="37"/>
      <c r="AE72" s="37"/>
    </row>
    <row r="73" spans="1:32" x14ac:dyDescent="0.2">
      <c r="A73" s="9"/>
      <c r="B73" s="251">
        <v>1982</v>
      </c>
      <c r="C73" s="259" t="s">
        <v>104</v>
      </c>
      <c r="D73" s="250">
        <f>(S73-V73)/(Q73-V73-X73+AB73)</f>
        <v>0.29797979797979796</v>
      </c>
      <c r="E73" s="250">
        <f>Y73/P73</f>
        <v>0.30762782900251467</v>
      </c>
      <c r="F73" s="250">
        <f>(T73+U73+V73)/S73</f>
        <v>0.28853754940711462</v>
      </c>
      <c r="G73" s="250">
        <f>(Y73+R73)/P73</f>
        <v>0.40318524727577537</v>
      </c>
      <c r="H73" s="250">
        <f>(Y73/Q73)+((S73+W73+Z73)/(Q73+W73+Z73+AB73))</f>
        <v>0.62434530185193804</v>
      </c>
      <c r="I73" s="250">
        <f>V73/Y73</f>
        <v>4.632152588555858E-2</v>
      </c>
      <c r="J73" s="250">
        <f>(AA73+AB73)/Y73</f>
        <v>4.3596730245231606E-2</v>
      </c>
      <c r="K73" s="250">
        <f>X73/P73</f>
        <v>0.23973176865046103</v>
      </c>
      <c r="L73" s="250">
        <f>(W73+Z73)/P73</f>
        <v>7.2925398155909468E-2</v>
      </c>
      <c r="M73" s="260">
        <f>(1-D73*0.7635+1-E73*0.7562+1-F73*0.75+1-G73*0.7248+1-H73*0.7021+1-I73*0.6285+J73*0.5884+K73*0.5276+1-L73*0.3663)/11.068</f>
        <v>0.51402138950960896</v>
      </c>
      <c r="N73" s="266">
        <f>M73/0.4978*100</f>
        <v>103.25861581149236</v>
      </c>
      <c r="O73" s="286">
        <f>(N73-100)/100*P73*0.6611</f>
        <v>25.700451991822778</v>
      </c>
      <c r="P73" s="261">
        <v>1193</v>
      </c>
      <c r="Q73" s="261">
        <f>P73-W73-Z73-AA73-AB73</f>
        <v>1090</v>
      </c>
      <c r="R73" s="261">
        <v>114</v>
      </c>
      <c r="S73" s="261">
        <v>253</v>
      </c>
      <c r="T73" s="261">
        <v>49</v>
      </c>
      <c r="U73" s="261">
        <v>7</v>
      </c>
      <c r="V73" s="261">
        <v>17</v>
      </c>
      <c r="W73" s="261">
        <v>86</v>
      </c>
      <c r="X73" s="261">
        <v>286</v>
      </c>
      <c r="Y73" s="261">
        <f>S73+T73+U73*2+V73*3</f>
        <v>367</v>
      </c>
      <c r="Z73" s="261">
        <v>1</v>
      </c>
      <c r="AA73" s="261">
        <v>11</v>
      </c>
      <c r="AB73" s="261">
        <v>5</v>
      </c>
      <c r="AC73" s="9"/>
      <c r="AD73" s="37"/>
      <c r="AE73" s="37"/>
    </row>
    <row r="74" spans="1:32" x14ac:dyDescent="0.2">
      <c r="A74" s="9"/>
      <c r="B74" s="251">
        <v>1989</v>
      </c>
      <c r="C74" s="259" t="s">
        <v>441</v>
      </c>
      <c r="D74" s="250">
        <f>(S74-V74)/(Q74-V74-X74+AB74)</f>
        <v>0.25755584756898819</v>
      </c>
      <c r="E74" s="250">
        <f>Y74/P74</f>
        <v>0.2987267384916748</v>
      </c>
      <c r="F74" s="250">
        <f>(T74+U74+V74)/S74</f>
        <v>0.30622009569377989</v>
      </c>
      <c r="G74" s="250">
        <f>(Y74+R74)/P74</f>
        <v>0.37120470127326149</v>
      </c>
      <c r="H74" s="250">
        <f>(Y74/Q74)+((S74+W74+Z74)/(Q74+W74+Z74+AB74))</f>
        <v>0.56836587382214665</v>
      </c>
      <c r="I74" s="250">
        <f>V74/Y74</f>
        <v>4.2622950819672129E-2</v>
      </c>
      <c r="J74" s="250">
        <f>(AA74+AB74)/Y74</f>
        <v>4.9180327868852458E-2</v>
      </c>
      <c r="K74" s="250">
        <f>X74/P74</f>
        <v>0.18903036238981391</v>
      </c>
      <c r="L74" s="250">
        <f>(W74+Z74)/P74</f>
        <v>4.4074436826640549E-2</v>
      </c>
      <c r="M74" s="260">
        <f>(1-D74*0.7635+1-E74*0.7562+1-F74*0.75+1-G74*0.7248+1-H74*0.7021+1-I74*0.6285+J74*0.5884+K74*0.5276+1-L74*0.3663)/11.068</f>
        <v>0.52091002573049194</v>
      </c>
      <c r="N74" s="266">
        <f>M74/0.5019*100</f>
        <v>103.78761221966366</v>
      </c>
      <c r="O74" s="286">
        <f>(N74-100)/100*P74*0.6611</f>
        <v>25.565742376264566</v>
      </c>
      <c r="P74" s="261">
        <v>1021</v>
      </c>
      <c r="Q74" s="261">
        <f>P74-W74-Z74-AA74-AB74</f>
        <v>961</v>
      </c>
      <c r="R74" s="261">
        <v>74</v>
      </c>
      <c r="S74" s="261">
        <v>209</v>
      </c>
      <c r="T74" s="261">
        <v>45</v>
      </c>
      <c r="U74" s="261">
        <v>6</v>
      </c>
      <c r="V74" s="261">
        <v>13</v>
      </c>
      <c r="W74" s="261">
        <v>43</v>
      </c>
      <c r="X74" s="261">
        <v>193</v>
      </c>
      <c r="Y74" s="261">
        <f>S74+T74+U74*2+V74*3</f>
        <v>305</v>
      </c>
      <c r="Z74" s="261">
        <v>2</v>
      </c>
      <c r="AA74" s="261">
        <v>9</v>
      </c>
      <c r="AB74" s="261">
        <v>6</v>
      </c>
      <c r="AC74" s="9"/>
      <c r="AD74" s="37"/>
      <c r="AE74" s="37"/>
    </row>
    <row r="75" spans="1:32" x14ac:dyDescent="0.2">
      <c r="A75" s="9"/>
      <c r="B75" s="251">
        <v>1974</v>
      </c>
      <c r="C75" s="259" t="s">
        <v>459</v>
      </c>
      <c r="D75" s="250">
        <f>(S75-V75)/(Q75-V75-X75+AB75)</f>
        <v>0.29073482428115016</v>
      </c>
      <c r="E75" s="250">
        <f>Y75/P75</f>
        <v>0.28821470245040842</v>
      </c>
      <c r="F75" s="250">
        <f>(T75+U75+V75)/S75</f>
        <v>0.18324607329842932</v>
      </c>
      <c r="G75" s="250">
        <f>(Y75+R75)/P75</f>
        <v>0.36522753792298718</v>
      </c>
      <c r="H75" s="250">
        <f>(Y75/Q75)+((S75+W75+Z75)/(Q75+W75+Z75+AB75))</f>
        <v>0.61654027004206335</v>
      </c>
      <c r="I75" s="250">
        <f>V75/Y75</f>
        <v>3.643724696356275E-2</v>
      </c>
      <c r="J75" s="250">
        <f>(AA75+AB75)/Y75</f>
        <v>0.10931174089068826</v>
      </c>
      <c r="K75" s="250">
        <f>X75/P75</f>
        <v>0.16686114352392065</v>
      </c>
      <c r="L75" s="250">
        <f>(W75+Z75)/P75</f>
        <v>6.6511085180863475E-2</v>
      </c>
      <c r="M75" s="260">
        <f>(1-D75*0.7635+1-E75*0.7562+1-F75*0.75+1-G75*0.7248+1-H75*0.7021+1-I75*0.6285+J75*0.5884+K75*0.5276+1-L75*0.3663)/11.068</f>
        <v>0.52675666362995643</v>
      </c>
      <c r="N75" s="266">
        <f>M75/0.5045*100</f>
        <v>104.41162807333131</v>
      </c>
      <c r="O75" s="286">
        <f>(N75-100)/100*P75*0.6611</f>
        <v>24.994639126223877</v>
      </c>
      <c r="P75" s="261">
        <v>857</v>
      </c>
      <c r="Q75" s="261">
        <f>P75-W75-Z75-AA75-AB75</f>
        <v>773</v>
      </c>
      <c r="R75" s="261">
        <v>66</v>
      </c>
      <c r="S75" s="261">
        <v>191</v>
      </c>
      <c r="T75" s="261">
        <v>23</v>
      </c>
      <c r="U75" s="261">
        <v>3</v>
      </c>
      <c r="V75" s="261">
        <v>9</v>
      </c>
      <c r="W75" s="261">
        <v>56</v>
      </c>
      <c r="X75" s="261">
        <v>143</v>
      </c>
      <c r="Y75" s="261">
        <f>S75+T75+U75*2+V75*3</f>
        <v>247</v>
      </c>
      <c r="Z75" s="261">
        <v>1</v>
      </c>
      <c r="AA75" s="261">
        <v>22</v>
      </c>
      <c r="AB75" s="261">
        <v>5</v>
      </c>
      <c r="AC75" s="9"/>
      <c r="AD75" s="37"/>
      <c r="AE75" s="37"/>
    </row>
    <row r="76" spans="1:32" x14ac:dyDescent="0.2">
      <c r="A76" s="9"/>
      <c r="B76" s="251">
        <v>2019</v>
      </c>
      <c r="C76" s="259" t="s">
        <v>344</v>
      </c>
      <c r="D76" s="250">
        <f>(S76-V76)/(Q76-V76-X76+AB76)</f>
        <v>0.21814254859611232</v>
      </c>
      <c r="E76" s="250">
        <f>Y76/P76</f>
        <v>0.33884297520661155</v>
      </c>
      <c r="F76" s="250">
        <f>(T76+U76+V76)/S76</f>
        <v>0.51824817518248179</v>
      </c>
      <c r="G76" s="250">
        <f>(Y76+R76)/P76</f>
        <v>0.4167650531286895</v>
      </c>
      <c r="H76" s="250">
        <f>(Y76/Q76)+((S76+W76+Z76)/(Q76+W76+Z76+AB76))</f>
        <v>0.57851832210221632</v>
      </c>
      <c r="I76" s="250">
        <f>V76/Y76</f>
        <v>0.12543554006968641</v>
      </c>
      <c r="J76" s="250">
        <f>(AA76+AB76)/Y76</f>
        <v>6.9686411149825784E-3</v>
      </c>
      <c r="K76" s="250">
        <f>X76/P76</f>
        <v>0.35419126328217237</v>
      </c>
      <c r="L76" s="250">
        <f>(W76+Z76)/P76</f>
        <v>5.667060212514758E-2</v>
      </c>
      <c r="M76" s="260">
        <f>(1-D76*0.7635+1-E76*0.7562+1-F76*0.75+1-G76*0.7248+1-H76*0.7021+1-I76*0.6285+J76*0.5884+K76*0.5276+1-L76*0.3663)/11.068</f>
        <v>0.50340232480128466</v>
      </c>
      <c r="N76" s="266">
        <f>M76/0.4819*100</f>
        <v>104.46198896063181</v>
      </c>
      <c r="O76" s="286">
        <f>(N76-100)/100*P76*0.6611</f>
        <v>24.984983038870173</v>
      </c>
      <c r="P76" s="261">
        <v>847</v>
      </c>
      <c r="Q76" s="261">
        <f>P76-W76-Z76-AA76-AB76</f>
        <v>797</v>
      </c>
      <c r="R76" s="261">
        <v>66</v>
      </c>
      <c r="S76" s="261">
        <v>137</v>
      </c>
      <c r="T76" s="261">
        <v>28</v>
      </c>
      <c r="U76" s="261">
        <v>7</v>
      </c>
      <c r="V76" s="261">
        <v>36</v>
      </c>
      <c r="W76" s="261">
        <v>42</v>
      </c>
      <c r="X76" s="261">
        <v>300</v>
      </c>
      <c r="Y76" s="261">
        <f>S76+T76+U76*2+V76*3</f>
        <v>287</v>
      </c>
      <c r="Z76" s="261">
        <v>6</v>
      </c>
      <c r="AA76" s="261">
        <v>0</v>
      </c>
      <c r="AB76" s="261">
        <v>2</v>
      </c>
      <c r="AC76" s="9"/>
      <c r="AD76" s="37"/>
      <c r="AE76" s="37"/>
    </row>
    <row r="77" spans="1:32" x14ac:dyDescent="0.2">
      <c r="A77" s="9"/>
      <c r="B77" s="251">
        <v>1994</v>
      </c>
      <c r="C77" s="259" t="s">
        <v>437</v>
      </c>
      <c r="D77" s="250">
        <f>(S77-V77)/(Q77-V77-X77+AB77)</f>
        <v>0.2390852390852391</v>
      </c>
      <c r="E77" s="250">
        <f>Y77/P77</f>
        <v>0.3</v>
      </c>
      <c r="F77" s="250">
        <f>(T77+U77+V77)/S77</f>
        <v>0.34615384615384615</v>
      </c>
      <c r="G77" s="250">
        <f>(Y77+R77)/P77</f>
        <v>0.38695652173913042</v>
      </c>
      <c r="H77" s="250">
        <f>(Y77/Q77)+((S77+W77+Z77)/(Q77+W77+Z77+AB77))</f>
        <v>0.60947659506065277</v>
      </c>
      <c r="I77" s="250">
        <f>V77/Y77</f>
        <v>7.2463768115942032E-2</v>
      </c>
      <c r="J77" s="250">
        <f>(AA77+AB77)/Y77</f>
        <v>2.8985507246376812E-2</v>
      </c>
      <c r="K77" s="250">
        <f>X77/P77</f>
        <v>0.19130434782608696</v>
      </c>
      <c r="L77" s="250">
        <f>(W77+Z77)/P77</f>
        <v>8.8405797101449274E-2</v>
      </c>
      <c r="M77" s="260">
        <f>(1-D77*0.7635+1-E77*0.7562+1-F77*0.75+1-G77*0.7248+1-H77*0.7021+1-I77*0.6285+J77*0.5884+K77*0.5276+1-L77*0.3663)/11.068</f>
        <v>0.51162487853560823</v>
      </c>
      <c r="N77" s="266">
        <f>M77/0.486*100</f>
        <v>105.27260875218276</v>
      </c>
      <c r="O77" s="286">
        <f>(N77-100)/100*P77*0.6611</f>
        <v>24.051479357869368</v>
      </c>
      <c r="P77" s="261">
        <v>690</v>
      </c>
      <c r="Q77" s="261">
        <f>P77-W77-Z77-AA77-AB77</f>
        <v>623</v>
      </c>
      <c r="R77" s="261">
        <v>60</v>
      </c>
      <c r="S77" s="261">
        <v>130</v>
      </c>
      <c r="T77" s="261">
        <v>28</v>
      </c>
      <c r="U77" s="261">
        <v>2</v>
      </c>
      <c r="V77" s="261">
        <v>15</v>
      </c>
      <c r="W77" s="261">
        <v>54</v>
      </c>
      <c r="X77" s="261">
        <v>132</v>
      </c>
      <c r="Y77" s="261">
        <f>S77+T77+U77*2+V77*3</f>
        <v>207</v>
      </c>
      <c r="Z77" s="261">
        <v>7</v>
      </c>
      <c r="AA77" s="261">
        <v>1</v>
      </c>
      <c r="AB77" s="261">
        <v>5</v>
      </c>
      <c r="AC77" s="9"/>
      <c r="AD77" s="37"/>
      <c r="AE77" s="37"/>
    </row>
    <row r="78" spans="1:32" x14ac:dyDescent="0.2">
      <c r="A78" s="9"/>
      <c r="B78" s="251">
        <v>1961</v>
      </c>
      <c r="C78" s="259" t="s">
        <v>162</v>
      </c>
      <c r="D78" s="250">
        <f>(S78-V78)/(Q78-V78-X78+AB78)</f>
        <v>0.26481257557436516</v>
      </c>
      <c r="E78" s="250">
        <f>Y78/P78</f>
        <v>0.31578947368421051</v>
      </c>
      <c r="F78" s="250">
        <f>(T78+U78+V78)/S78</f>
        <v>0.28925619834710742</v>
      </c>
      <c r="G78" s="250">
        <f>(Y78+R78)/P78</f>
        <v>0.40897325280414148</v>
      </c>
      <c r="H78" s="250">
        <f>(Y78/Q78)+((S78+W78+Z78)/(Q78+W78+Z78+AB78))</f>
        <v>0.63738952020202022</v>
      </c>
      <c r="I78" s="250">
        <f>V78/Y78</f>
        <v>6.2841530054644809E-2</v>
      </c>
      <c r="J78" s="250">
        <f>(AA78+AB78)/Y78</f>
        <v>2.7322404371584699E-2</v>
      </c>
      <c r="K78" s="250">
        <f>X78/P78</f>
        <v>0.18032786885245902</v>
      </c>
      <c r="L78" s="250">
        <f>(W78+Z78)/P78</f>
        <v>8.0241587575496112E-2</v>
      </c>
      <c r="M78" s="260">
        <f>(1-D78*0.7635+1-E78*0.7562+1-F78*0.75+1-G78*0.7248+1-H78*0.7021+1-I78*0.6285+J78*0.5884+K78*0.5276+1-L78*0.3663)/11.068</f>
        <v>0.50961940234847414</v>
      </c>
      <c r="N78" s="266">
        <f>M78/0.4946*100</f>
        <v>103.03667657672344</v>
      </c>
      <c r="O78" s="286">
        <f>(N78-100)/100*P78*0.6611</f>
        <v>23.267468395664906</v>
      </c>
      <c r="P78" s="261">
        <v>1159</v>
      </c>
      <c r="Q78" s="261">
        <f>P78-W78-Z78-AA78-AB78</f>
        <v>1056</v>
      </c>
      <c r="R78" s="261">
        <v>108</v>
      </c>
      <c r="S78" s="261">
        <v>242</v>
      </c>
      <c r="T78" s="261">
        <v>39</v>
      </c>
      <c r="U78" s="261">
        <v>8</v>
      </c>
      <c r="V78" s="261">
        <v>23</v>
      </c>
      <c r="W78" s="261">
        <v>92</v>
      </c>
      <c r="X78" s="261">
        <v>209</v>
      </c>
      <c r="Y78" s="261">
        <f>S78+T78+U78*2+V78*3</f>
        <v>366</v>
      </c>
      <c r="Z78" s="261">
        <v>1</v>
      </c>
      <c r="AA78" s="261">
        <v>7</v>
      </c>
      <c r="AB78" s="261">
        <v>3</v>
      </c>
      <c r="AC78" s="9"/>
      <c r="AD78" s="37"/>
      <c r="AE78" s="37"/>
    </row>
    <row r="79" spans="1:32" x14ac:dyDescent="0.2">
      <c r="A79" s="9"/>
      <c r="B79" s="251">
        <v>1991</v>
      </c>
      <c r="C79" s="259" t="s">
        <v>45</v>
      </c>
      <c r="D79" s="250">
        <f>(S79-V79)/(Q79-V79-X79+AB79)</f>
        <v>0.2621082621082621</v>
      </c>
      <c r="E79" s="250">
        <f>Y79/P79</f>
        <v>0.30232558139534882</v>
      </c>
      <c r="F79" s="250">
        <f>(T79+U79+V79)/S79</f>
        <v>0.28855721393034828</v>
      </c>
      <c r="G79" s="250">
        <f>(Y79+R79)/P79</f>
        <v>0.38624873609706772</v>
      </c>
      <c r="H79" s="250">
        <f>(Y79/Q79)+((S79+W79+Z79)/(Q79+W79+Z79+AB79))</f>
        <v>0.60737248371234709</v>
      </c>
      <c r="I79" s="250">
        <f>V79/Y79</f>
        <v>5.6856187290969896E-2</v>
      </c>
      <c r="J79" s="250">
        <f>(AA79+AB79)/Y79</f>
        <v>4.3478260869565216E-2</v>
      </c>
      <c r="K79" s="250">
        <f>X79/P79</f>
        <v>0.19413549039433772</v>
      </c>
      <c r="L79" s="250">
        <f>(W79+Z79)/P79</f>
        <v>7.1789686552072796E-2</v>
      </c>
      <c r="M79" s="260">
        <f>(1-D79*0.7635+1-E79*0.7562+1-F79*0.75+1-G79*0.7248+1-H79*0.7021+1-I79*0.6285+J79*0.5884+K79*0.5276+1-L79*0.3663)/11.068</f>
        <v>0.51630216295402331</v>
      </c>
      <c r="N79" s="266">
        <f>M79/0.4986*100</f>
        <v>103.55037363698823</v>
      </c>
      <c r="O79" s="286">
        <f>(N79-100)/100*P79*0.6611</f>
        <v>23.213333392873746</v>
      </c>
      <c r="P79" s="261">
        <v>989</v>
      </c>
      <c r="Q79" s="261">
        <f>P79-W79-Z79-AA79-AB79</f>
        <v>905</v>
      </c>
      <c r="R79" s="261">
        <v>83</v>
      </c>
      <c r="S79" s="261">
        <v>201</v>
      </c>
      <c r="T79" s="261">
        <v>35</v>
      </c>
      <c r="U79" s="261">
        <v>6</v>
      </c>
      <c r="V79" s="261">
        <v>17</v>
      </c>
      <c r="W79" s="261">
        <v>69</v>
      </c>
      <c r="X79" s="261">
        <v>192</v>
      </c>
      <c r="Y79" s="261">
        <f>S79+T79+U79*2+V79*3</f>
        <v>299</v>
      </c>
      <c r="Z79" s="261">
        <v>2</v>
      </c>
      <c r="AA79" s="261">
        <v>7</v>
      </c>
      <c r="AB79" s="261">
        <v>6</v>
      </c>
      <c r="AC79" s="9"/>
      <c r="AD79" s="37"/>
      <c r="AE79" s="37"/>
    </row>
    <row r="80" spans="1:32" x14ac:dyDescent="0.2">
      <c r="A80" s="9"/>
      <c r="B80" s="251">
        <v>1976</v>
      </c>
      <c r="C80" s="259" t="s">
        <v>113</v>
      </c>
      <c r="D80" s="250">
        <f>(S80-V80)/(Q80-V80-X80+AB80)</f>
        <v>0.24102564102564103</v>
      </c>
      <c r="E80" s="250">
        <f>Y80/P80</f>
        <v>0.29140127388535031</v>
      </c>
      <c r="F80" s="250">
        <f>(T80+U80+V80)/S80</f>
        <v>0.24705882352941178</v>
      </c>
      <c r="G80" s="250">
        <f>(Y80+R80)/P80</f>
        <v>0.37181528662420382</v>
      </c>
      <c r="H80" s="250">
        <f>(Y80/Q80)+((S80+W80+Z80)/(Q80+W80+Z80+AB80))</f>
        <v>0.59954380332854607</v>
      </c>
      <c r="I80" s="250">
        <f>V80/Y80</f>
        <v>5.4644808743169397E-2</v>
      </c>
      <c r="J80" s="250">
        <f>(AA80+AB80)/Y80</f>
        <v>6.5573770491803282E-2</v>
      </c>
      <c r="K80" s="250">
        <f>X80/P80</f>
        <v>0.12659235668789809</v>
      </c>
      <c r="L80" s="250">
        <f>(W80+Z80)/P80</f>
        <v>7.32484076433121E-2</v>
      </c>
      <c r="M80" s="260">
        <f>(1-D80*0.7635+1-E80*0.7562+1-F80*0.75+1-G80*0.7248+1-H80*0.7021+1-I80*0.6285+J80*0.5884+K80*0.5276+1-L80*0.3663)/11.068</f>
        <v>0.52078896982170697</v>
      </c>
      <c r="N80" s="266">
        <f>M80/0.5072*100</f>
        <v>102.67921329292331</v>
      </c>
      <c r="O80" s="286">
        <f>(N80-100)/100*P80*0.6611</f>
        <v>22.24662252387208</v>
      </c>
      <c r="P80" s="261">
        <v>1256</v>
      </c>
      <c r="Q80" s="261">
        <f>P80-W80-Z80-AA80-AB80</f>
        <v>1140</v>
      </c>
      <c r="R80" s="261">
        <v>101</v>
      </c>
      <c r="S80" s="261">
        <v>255</v>
      </c>
      <c r="T80" s="261">
        <v>35</v>
      </c>
      <c r="U80" s="261">
        <v>8</v>
      </c>
      <c r="V80" s="261">
        <v>20</v>
      </c>
      <c r="W80" s="261">
        <v>84</v>
      </c>
      <c r="X80" s="261">
        <v>159</v>
      </c>
      <c r="Y80" s="261">
        <f>S80+T80+U80*2+V80*3</f>
        <v>366</v>
      </c>
      <c r="Z80" s="261">
        <v>8</v>
      </c>
      <c r="AA80" s="261">
        <v>10</v>
      </c>
      <c r="AB80" s="261">
        <v>14</v>
      </c>
      <c r="AC80" s="9"/>
      <c r="AD80" s="37"/>
      <c r="AE80" s="37"/>
    </row>
    <row r="81" spans="1:31" x14ac:dyDescent="0.2">
      <c r="A81" s="9"/>
      <c r="B81" s="251">
        <v>2013</v>
      </c>
      <c r="C81" s="259" t="s">
        <v>419</v>
      </c>
      <c r="D81" s="250">
        <f>(S81-V81)/(Q81-V81-X81+AB81)</f>
        <v>0.25968992248062017</v>
      </c>
      <c r="E81" s="250">
        <f>Y81/P81</f>
        <v>0.30143540669856461</v>
      </c>
      <c r="F81" s="250">
        <f>(T81+U81+V81)/S81</f>
        <v>0.38815789473684209</v>
      </c>
      <c r="G81" s="250">
        <f>(Y81+R81)/P81</f>
        <v>0.38875598086124402</v>
      </c>
      <c r="H81" s="250">
        <f>(Y81/Q81)+((S81+W81+Z81)/(Q81+W81+Z81+AB81))</f>
        <v>0.58317836592344918</v>
      </c>
      <c r="I81" s="250">
        <f>V81/Y81</f>
        <v>7.1428571428571425E-2</v>
      </c>
      <c r="J81" s="250">
        <f>(AA81+AB81)/Y81</f>
        <v>3.968253968253968E-2</v>
      </c>
      <c r="K81" s="250">
        <f>X81/P81</f>
        <v>0.28708133971291866</v>
      </c>
      <c r="L81" s="250">
        <f>(W81+Z81)/P81</f>
        <v>7.1770334928229665E-2</v>
      </c>
      <c r="M81" s="260">
        <f>(1-D81*0.7635+1-E81*0.7562+1-F81*0.75+1-G81*0.7248+1-H81*0.7021+1-I81*0.6285+J81*0.5884+K81*0.5276+1-L81*0.3663)/11.068</f>
        <v>0.5145531255239929</v>
      </c>
      <c r="N81" s="266">
        <f>M81/0.4948*100</f>
        <v>103.99214339611819</v>
      </c>
      <c r="O81" s="286">
        <f>(N81-100)/100*P81*0.6611</f>
        <v>22.063762153092455</v>
      </c>
      <c r="P81" s="261">
        <v>836</v>
      </c>
      <c r="Q81" s="261">
        <f>P81-W81-Z81-AA81-AB81</f>
        <v>766</v>
      </c>
      <c r="R81" s="261">
        <v>73</v>
      </c>
      <c r="S81" s="261">
        <v>152</v>
      </c>
      <c r="T81" s="261">
        <v>36</v>
      </c>
      <c r="U81" s="261">
        <v>5</v>
      </c>
      <c r="V81" s="261">
        <v>18</v>
      </c>
      <c r="W81" s="261">
        <v>56</v>
      </c>
      <c r="X81" s="261">
        <v>240</v>
      </c>
      <c r="Y81" s="261">
        <f>S81+T81+U81*2+V81*3</f>
        <v>252</v>
      </c>
      <c r="Z81" s="261">
        <v>4</v>
      </c>
      <c r="AA81" s="261">
        <v>2</v>
      </c>
      <c r="AB81" s="261">
        <v>8</v>
      </c>
      <c r="AC81" s="9"/>
      <c r="AD81" s="37"/>
      <c r="AE81" s="37"/>
    </row>
    <row r="82" spans="1:31" x14ac:dyDescent="0.2">
      <c r="A82" s="9"/>
      <c r="B82" s="251">
        <v>2020</v>
      </c>
      <c r="C82" s="259" t="s">
        <v>468</v>
      </c>
      <c r="D82" s="250">
        <f>(S82-V82)/(Q82-V82-X82+AB82)</f>
        <v>0.26712328767123289</v>
      </c>
      <c r="E82" s="250">
        <f>Y82/P82</f>
        <v>0.24579124579124578</v>
      </c>
      <c r="F82" s="250">
        <f>(T82+U82+V82)/S82</f>
        <v>0.28260869565217389</v>
      </c>
      <c r="G82" s="250">
        <f>(Y82+R82)/P82</f>
        <v>0.29629629629629628</v>
      </c>
      <c r="H82" s="250">
        <f>(Y82/Q82)+((S82+W82+Z82)/(Q82+W82+Z82+AB82))</f>
        <v>0.49441077441077441</v>
      </c>
      <c r="I82" s="250">
        <f>V82/Y82</f>
        <v>9.5890410958904104E-2</v>
      </c>
      <c r="J82" s="250">
        <f>(AA82+AB82)/Y82</f>
        <v>0</v>
      </c>
      <c r="K82" s="250">
        <f>X82/P82</f>
        <v>0.41077441077441079</v>
      </c>
      <c r="L82" s="250">
        <f>(W82+Z82)/P82</f>
        <v>7.407407407407407E-2</v>
      </c>
      <c r="M82" s="260">
        <f>(1-D82*0.7635+1-E82*0.7562+1-F82*0.75+1-G82*0.7248+1-H82*0.7021+1-I82*0.6285+J82*0.5884+K82*0.5276+1-L82*0.3663)/11.068</f>
        <v>0.53900165073100448</v>
      </c>
      <c r="N82" s="266">
        <f>M82/0.4854*100</f>
        <v>111.04277930181385</v>
      </c>
      <c r="O82" s="286">
        <f>(N82-100)/100*P82*0.6611</f>
        <v>21.682132747394537</v>
      </c>
      <c r="P82" s="261">
        <v>297</v>
      </c>
      <c r="Q82" s="261">
        <f>P82-W82-Z82-AA82-AB82</f>
        <v>275</v>
      </c>
      <c r="R82" s="261">
        <v>15</v>
      </c>
      <c r="S82" s="261">
        <v>46</v>
      </c>
      <c r="T82" s="261">
        <v>6</v>
      </c>
      <c r="U82" s="261">
        <v>0</v>
      </c>
      <c r="V82" s="261">
        <v>7</v>
      </c>
      <c r="W82" s="261">
        <v>21</v>
      </c>
      <c r="X82" s="261">
        <v>122</v>
      </c>
      <c r="Y82" s="261">
        <f>S82+T82+U82*2+V82*3</f>
        <v>73</v>
      </c>
      <c r="Z82" s="261">
        <v>1</v>
      </c>
      <c r="AA82" s="261">
        <v>0</v>
      </c>
      <c r="AB82" s="261">
        <v>0</v>
      </c>
      <c r="AC82" s="9"/>
      <c r="AD82" s="37"/>
      <c r="AE82" s="37"/>
    </row>
    <row r="83" spans="1:31" x14ac:dyDescent="0.2">
      <c r="A83" s="9"/>
      <c r="B83" s="251">
        <v>2012</v>
      </c>
      <c r="C83" s="259" t="s">
        <v>424</v>
      </c>
      <c r="D83" s="250">
        <f>(S83-V83)/(Q83-V83-X83+AB83)</f>
        <v>0.27953410981697169</v>
      </c>
      <c r="E83" s="250">
        <f>Y83/P83</f>
        <v>0.33117583603020495</v>
      </c>
      <c r="F83" s="250">
        <f>(T83+U83+V83)/S83</f>
        <v>0.328125</v>
      </c>
      <c r="G83" s="250">
        <f>(Y83+R83)/P83</f>
        <v>0.41531823085221142</v>
      </c>
      <c r="H83" s="250">
        <f>(Y83/Q83)+((S83+W83+Z83)/(Q83+W83+Z83+AB83))</f>
        <v>0.63980607966457026</v>
      </c>
      <c r="I83" s="250">
        <f>V83/Y83</f>
        <v>7.8175895765472306E-2</v>
      </c>
      <c r="J83" s="250">
        <f>(AA83+AB83)/Y83</f>
        <v>5.2117263843648211E-2</v>
      </c>
      <c r="K83" s="250">
        <f>X83/P83</f>
        <v>0.24811218985976269</v>
      </c>
      <c r="L83" s="250">
        <f>(W83+Z83)/P83</f>
        <v>6.7961165048543687E-2</v>
      </c>
      <c r="M83" s="260">
        <f>(1-D83*0.7635+1-E83*0.7562+1-F83*0.75+1-G83*0.7248+1-H83*0.7021+1-I83*0.6285+J83*0.5884+K83*0.5276+1-L83*0.3663)/11.068</f>
        <v>0.50843497938780791</v>
      </c>
      <c r="N83" s="266">
        <f>M83/0.492*100</f>
        <v>103.3404429650016</v>
      </c>
      <c r="O83" s="286">
        <f>(N83-100)/100*P83*0.6611</f>
        <v>20.471560645386909</v>
      </c>
      <c r="P83" s="261">
        <v>927</v>
      </c>
      <c r="Q83" s="261">
        <f>P83-W83-Z83-AA83-AB83</f>
        <v>848</v>
      </c>
      <c r="R83" s="261">
        <v>78</v>
      </c>
      <c r="S83" s="261">
        <v>192</v>
      </c>
      <c r="T83" s="261">
        <v>35</v>
      </c>
      <c r="U83" s="261">
        <v>4</v>
      </c>
      <c r="V83" s="261">
        <v>24</v>
      </c>
      <c r="W83" s="261">
        <v>54</v>
      </c>
      <c r="X83" s="261">
        <v>230</v>
      </c>
      <c r="Y83" s="261">
        <f>S83+T83+U83*2+V83*3</f>
        <v>307</v>
      </c>
      <c r="Z83" s="261">
        <v>9</v>
      </c>
      <c r="AA83" s="261">
        <v>9</v>
      </c>
      <c r="AB83" s="261">
        <v>7</v>
      </c>
      <c r="AC83" s="9"/>
      <c r="AD83" s="37"/>
      <c r="AE83" s="37"/>
    </row>
    <row r="84" spans="1:31" x14ac:dyDescent="0.2">
      <c r="A84" s="9"/>
      <c r="B84" s="251">
        <v>1970</v>
      </c>
      <c r="C84" s="259" t="s">
        <v>461</v>
      </c>
      <c r="D84" s="250">
        <f>(S84-V84)/(Q84-V84-X84+AB84)</f>
        <v>0.27107061503416857</v>
      </c>
      <c r="E84" s="250">
        <f>Y84/P84</f>
        <v>0.32017543859649122</v>
      </c>
      <c r="F84" s="250">
        <f>(T84+U84+V84)/S84</f>
        <v>0.23643410852713179</v>
      </c>
      <c r="G84" s="250">
        <f>(Y84+R84)/P84</f>
        <v>0.41842105263157897</v>
      </c>
      <c r="H84" s="250">
        <f>(Y84/Q84)+((S84+W84+Z84)/(Q84+W84+Z84+AB84))</f>
        <v>0.62958690817707064</v>
      </c>
      <c r="I84" s="250">
        <f>V84/Y84</f>
        <v>5.4794520547945202E-2</v>
      </c>
      <c r="J84" s="250">
        <f>(AA84+AB84)/Y84</f>
        <v>3.0136986301369864E-2</v>
      </c>
      <c r="K84" s="250">
        <f>X84/P84</f>
        <v>0.14736842105263157</v>
      </c>
      <c r="L84" s="250">
        <f>(W84+Z84)/P84</f>
        <v>5.7894736842105263E-2</v>
      </c>
      <c r="M84" s="260">
        <f>(1-D84*0.7635+1-E84*0.7562+1-F84*0.75+1-G84*0.7248+1-H84*0.7021+1-I84*0.6285+J84*0.5884+K84*0.5276+1-L84*0.3663)/11.068</f>
        <v>0.5121187001805525</v>
      </c>
      <c r="N84" s="266">
        <f>M84/0.4989*100</f>
        <v>102.64956908810431</v>
      </c>
      <c r="O84" s="286">
        <f>(N84-100)/100*P84*0.6611</f>
        <v>19.968583415261694</v>
      </c>
      <c r="P84" s="261">
        <v>1140</v>
      </c>
      <c r="Q84" s="261">
        <f>P84-W84-Z84-AA84-AB84</f>
        <v>1063</v>
      </c>
      <c r="R84" s="261">
        <v>112</v>
      </c>
      <c r="S84" s="261">
        <v>258</v>
      </c>
      <c r="T84" s="261">
        <v>35</v>
      </c>
      <c r="U84" s="261">
        <v>6</v>
      </c>
      <c r="V84" s="261">
        <v>20</v>
      </c>
      <c r="W84" s="261">
        <v>57</v>
      </c>
      <c r="X84" s="261">
        <v>168</v>
      </c>
      <c r="Y84" s="261">
        <f>S84+T84+U84*2+V84*3</f>
        <v>365</v>
      </c>
      <c r="Z84" s="261">
        <v>9</v>
      </c>
      <c r="AA84" s="261">
        <v>8</v>
      </c>
      <c r="AB84" s="261">
        <v>3</v>
      </c>
      <c r="AC84" s="9"/>
      <c r="AD84" s="37"/>
      <c r="AE84" s="37"/>
    </row>
    <row r="85" spans="1:31" x14ac:dyDescent="0.2">
      <c r="A85" s="9"/>
      <c r="B85" s="251">
        <v>1957</v>
      </c>
      <c r="C85" s="259" t="s">
        <v>166</v>
      </c>
      <c r="D85" s="250">
        <f>(S85-V85)/(Q85-V85-X85+AB85)</f>
        <v>0.24549549549549549</v>
      </c>
      <c r="E85" s="250">
        <f>Y85/P85</f>
        <v>0.31773177317731771</v>
      </c>
      <c r="F85" s="250">
        <f>(T85+U85+V85)/S85</f>
        <v>0.25311203319502074</v>
      </c>
      <c r="G85" s="250">
        <f>(Y85+R85)/P85</f>
        <v>0.40234023402340235</v>
      </c>
      <c r="H85" s="250">
        <f>(Y85/Q85)+((S85+W85+Z85)/(Q85+W85+Z85+AB85))</f>
        <v>0.63872951112508392</v>
      </c>
      <c r="I85" s="250">
        <f>V85/Y85</f>
        <v>6.5155807365439092E-2</v>
      </c>
      <c r="J85" s="250">
        <f>(AA85+AB85)/Y85</f>
        <v>4.2492917847025496E-2</v>
      </c>
      <c r="K85" s="250">
        <f>X85/P85</f>
        <v>9.9909990999099904E-2</v>
      </c>
      <c r="L85" s="250">
        <f>(W85+Z85)/P85</f>
        <v>7.2007200720072009E-2</v>
      </c>
      <c r="M85" s="260">
        <f>(1-D85*0.7635+1-E85*0.7562+1-F85*0.75+1-G85*0.7248+1-H85*0.7021+1-I85*0.6285+J85*0.5884+K85*0.5276+1-L85*0.3663)/11.068</f>
        <v>0.51073201008262803</v>
      </c>
      <c r="N85" s="266">
        <f>M85/0.4973*100</f>
        <v>102.70098734820591</v>
      </c>
      <c r="O85" s="286">
        <f>(N85-100)/100*P85*0.6611</f>
        <v>19.838268595837107</v>
      </c>
      <c r="P85" s="261">
        <v>1111</v>
      </c>
      <c r="Q85" s="261">
        <f>P85-W85-Z85-AA85-AB85</f>
        <v>1016</v>
      </c>
      <c r="R85" s="261">
        <v>94</v>
      </c>
      <c r="S85" s="261">
        <v>241</v>
      </c>
      <c r="T85" s="261">
        <v>33</v>
      </c>
      <c r="U85" s="261">
        <v>5</v>
      </c>
      <c r="V85" s="261">
        <v>23</v>
      </c>
      <c r="W85" s="261">
        <v>78</v>
      </c>
      <c r="X85" s="261">
        <v>111</v>
      </c>
      <c r="Y85" s="261">
        <f>S85+T85+U85*2+V85*3</f>
        <v>353</v>
      </c>
      <c r="Z85" s="261">
        <v>2</v>
      </c>
      <c r="AA85" s="261">
        <v>9</v>
      </c>
      <c r="AB85" s="261">
        <v>6</v>
      </c>
      <c r="AC85" s="9"/>
      <c r="AD85" s="37"/>
      <c r="AE85" s="37"/>
    </row>
    <row r="86" spans="1:31" x14ac:dyDescent="0.2">
      <c r="A86" s="9"/>
      <c r="B86" s="251">
        <v>1990</v>
      </c>
      <c r="C86" s="259" t="s">
        <v>440</v>
      </c>
      <c r="D86" s="250">
        <f>(S86-V86)/(Q86-V86-X86+AB86)</f>
        <v>0.24893314366998578</v>
      </c>
      <c r="E86" s="250">
        <f>Y86/P86</f>
        <v>0.30501089324618735</v>
      </c>
      <c r="F86" s="250">
        <f>(T86+U86+V86)/S86</f>
        <v>0.29473684210526313</v>
      </c>
      <c r="G86" s="250">
        <f>(Y86+R86)/P86</f>
        <v>0.38997821350762529</v>
      </c>
      <c r="H86" s="250">
        <f>(Y86/Q86)+((S86+W86+Z86)/(Q86+W86+Z86+AB86))</f>
        <v>0.60519834202934775</v>
      </c>
      <c r="I86" s="250">
        <f>V86/Y86</f>
        <v>5.3571428571428568E-2</v>
      </c>
      <c r="J86" s="250">
        <f>(AA86+AB86)/Y86</f>
        <v>4.642857142857143E-2</v>
      </c>
      <c r="K86" s="250">
        <f>X86/P86</f>
        <v>0.14270152505446623</v>
      </c>
      <c r="L86" s="250">
        <f>(W86+Z86)/P86</f>
        <v>6.4270152505446626E-2</v>
      </c>
      <c r="M86" s="260">
        <f>(1-D86*0.7635+1-E86*0.7562+1-F86*0.75+1-G86*0.7248+1-H86*0.7021+1-I86*0.6285+J86*0.5884+K86*0.5276+1-L86*0.3663)/11.068</f>
        <v>0.514642917148043</v>
      </c>
      <c r="N86" s="266">
        <f>M86/0.4985*100</f>
        <v>103.23829832458236</v>
      </c>
      <c r="O86" s="286">
        <f>(N86-100)/100*P86*0.6611</f>
        <v>19.652902225461233</v>
      </c>
      <c r="P86" s="261">
        <v>918</v>
      </c>
      <c r="Q86" s="261">
        <f>P86-W86-Z86-AA86-AB86</f>
        <v>846</v>
      </c>
      <c r="R86" s="261">
        <v>78</v>
      </c>
      <c r="S86" s="261">
        <v>190</v>
      </c>
      <c r="T86" s="261">
        <v>37</v>
      </c>
      <c r="U86" s="261">
        <v>4</v>
      </c>
      <c r="V86" s="261">
        <v>15</v>
      </c>
      <c r="W86" s="261">
        <v>56</v>
      </c>
      <c r="X86" s="261">
        <v>131</v>
      </c>
      <c r="Y86" s="261">
        <f>S86+T86+U86*2+V86*3</f>
        <v>280</v>
      </c>
      <c r="Z86" s="261">
        <v>3</v>
      </c>
      <c r="AA86" s="261">
        <v>10</v>
      </c>
      <c r="AB86" s="261">
        <v>3</v>
      </c>
      <c r="AC86" s="9"/>
      <c r="AD86" s="37"/>
      <c r="AE86" s="37"/>
    </row>
    <row r="87" spans="1:31" x14ac:dyDescent="0.2">
      <c r="A87" s="9"/>
      <c r="B87" s="251">
        <v>2016</v>
      </c>
      <c r="C87" s="259" t="s">
        <v>419</v>
      </c>
      <c r="D87" s="250">
        <f>(S87-V87)/(Q87-V87-X87+AB87)</f>
        <v>0.25868725868725867</v>
      </c>
      <c r="E87" s="250">
        <f>Y87/P87</f>
        <v>0.33592017738359203</v>
      </c>
      <c r="F87" s="250">
        <f>(T87+U87+V87)/S87</f>
        <v>0.43636363636363634</v>
      </c>
      <c r="G87" s="250">
        <f>(Y87+R87)/P87</f>
        <v>0.42128603104212858</v>
      </c>
      <c r="H87" s="250">
        <f>(Y87/Q87)+((S87+W87+Z87)/(Q87+W87+Z87+AB87))</f>
        <v>0.61869152588005649</v>
      </c>
      <c r="I87" s="250">
        <f>V87/Y87</f>
        <v>0.10231023102310231</v>
      </c>
      <c r="J87" s="250">
        <f>(AA87+AB87)/Y87</f>
        <v>3.3003300330033E-2</v>
      </c>
      <c r="K87" s="250">
        <f>X87/P87</f>
        <v>0.31485587583148561</v>
      </c>
      <c r="L87" s="250">
        <f>(W87+Z87)/P87</f>
        <v>6.8736141906873618E-2</v>
      </c>
      <c r="M87" s="260">
        <f>(1-D87*0.7635+1-E87*0.7562+1-F87*0.75+1-G87*0.7248+1-H87*0.7021+1-I87*0.6285+J87*0.5884+K87*0.5276+1-L87*0.3663)/11.068</f>
        <v>0.5039322687013672</v>
      </c>
      <c r="N87" s="266">
        <f>M87/0.488*100</f>
        <v>103.26480916011622</v>
      </c>
      <c r="O87" s="286">
        <f>(N87-100)/100*P87*0.6611</f>
        <v>19.468455328490524</v>
      </c>
      <c r="P87" s="261">
        <v>902</v>
      </c>
      <c r="Q87" s="261">
        <f>P87-W87-Z87-AA87-AB87</f>
        <v>830</v>
      </c>
      <c r="R87" s="261">
        <v>77</v>
      </c>
      <c r="S87" s="261">
        <v>165</v>
      </c>
      <c r="T87" s="261">
        <v>37</v>
      </c>
      <c r="U87" s="261">
        <v>4</v>
      </c>
      <c r="V87" s="261">
        <v>31</v>
      </c>
      <c r="W87" s="261">
        <v>56</v>
      </c>
      <c r="X87" s="261">
        <v>284</v>
      </c>
      <c r="Y87" s="261">
        <f>S87+T87+U87*2+V87*3</f>
        <v>303</v>
      </c>
      <c r="Z87" s="261">
        <v>6</v>
      </c>
      <c r="AA87" s="261">
        <v>7</v>
      </c>
      <c r="AB87" s="261">
        <v>3</v>
      </c>
      <c r="AC87" s="9"/>
      <c r="AD87" s="37"/>
      <c r="AE87" s="37"/>
    </row>
    <row r="88" spans="1:31" x14ac:dyDescent="0.2">
      <c r="A88" s="9"/>
      <c r="B88" s="251">
        <v>1969</v>
      </c>
      <c r="C88" s="259" t="s">
        <v>107</v>
      </c>
      <c r="D88" s="250">
        <f>(S88-V88)/(Q88-V88-X88+AB88)</f>
        <v>0.23796791443850268</v>
      </c>
      <c r="E88" s="250">
        <f>Y88/P88</f>
        <v>0.29660238751147844</v>
      </c>
      <c r="F88" s="250">
        <f>(T88+U88+V88)/S88</f>
        <v>0.32673267326732675</v>
      </c>
      <c r="G88" s="250">
        <f>(Y88+R88)/P88</f>
        <v>0.36547291092745637</v>
      </c>
      <c r="H88" s="250">
        <f>(Y88/Q88)+((S88+W88+Z88)/(Q88+W88+Z88+AB88))</f>
        <v>0.60349907653930113</v>
      </c>
      <c r="I88" s="250">
        <f>V88/Y88</f>
        <v>7.4303405572755415E-2</v>
      </c>
      <c r="J88" s="250">
        <f>(AA88+AB88)/Y88</f>
        <v>7.7399380804953566E-2</v>
      </c>
      <c r="K88" s="250">
        <f>X88/P88</f>
        <v>0.19100091827364554</v>
      </c>
      <c r="L88" s="250">
        <f>(W88+Z88)/P88</f>
        <v>8.1726354453627179E-2</v>
      </c>
      <c r="M88" s="260">
        <f>(1-D88*0.7635+1-E88*0.7562+1-F88*0.75+1-G88*0.7248+1-H88*0.7021+1-I88*0.6285+J88*0.5884+K88*0.5276+1-L88*0.3663)/11.068</f>
        <v>0.5177121092852397</v>
      </c>
      <c r="N88" s="266">
        <f>M88/0.5043*100</f>
        <v>102.65954972937533</v>
      </c>
      <c r="O88" s="286">
        <f>(N88-100)/100*P88*0.6611</f>
        <v>19.14710647112042</v>
      </c>
      <c r="P88" s="261">
        <v>1089</v>
      </c>
      <c r="Q88" s="261">
        <f>P88-W88-Z88-AA88-AB88</f>
        <v>975</v>
      </c>
      <c r="R88" s="261">
        <v>75</v>
      </c>
      <c r="S88" s="261">
        <v>202</v>
      </c>
      <c r="T88" s="261">
        <v>35</v>
      </c>
      <c r="U88" s="261">
        <v>7</v>
      </c>
      <c r="V88" s="261">
        <v>24</v>
      </c>
      <c r="W88" s="261">
        <v>82</v>
      </c>
      <c r="X88" s="261">
        <v>208</v>
      </c>
      <c r="Y88" s="261">
        <f>S88+T88+U88*2+V88*3</f>
        <v>323</v>
      </c>
      <c r="Z88" s="261">
        <v>7</v>
      </c>
      <c r="AA88" s="261">
        <v>20</v>
      </c>
      <c r="AB88" s="261">
        <v>5</v>
      </c>
      <c r="AC88" s="9"/>
      <c r="AD88" s="37"/>
      <c r="AE88" s="37"/>
    </row>
    <row r="89" spans="1:31" x14ac:dyDescent="0.2">
      <c r="A89" s="9"/>
      <c r="B89" s="251">
        <v>2001</v>
      </c>
      <c r="C89" s="259" t="s">
        <v>368</v>
      </c>
      <c r="D89" s="250">
        <f>(S89-V89)/(Q89-V89-X89+AB89)</f>
        <v>0.30743801652892561</v>
      </c>
      <c r="E89" s="250">
        <f>Y89/P89</f>
        <v>0.33986928104575165</v>
      </c>
      <c r="F89" s="250">
        <f>(T89+U89+V89)/S89</f>
        <v>0.32195121951219513</v>
      </c>
      <c r="G89" s="250">
        <f>(Y89+R89)/P89</f>
        <v>0.44226579520697168</v>
      </c>
      <c r="H89" s="250">
        <f>(Y89/Q89)+((S89+W89+Z89)/(Q89+W89+Z89+AB89))</f>
        <v>0.68308373677698653</v>
      </c>
      <c r="I89" s="250">
        <f>V89/Y89</f>
        <v>6.0897435897435896E-2</v>
      </c>
      <c r="J89" s="250">
        <f>(AA89+AB89)/Y89</f>
        <v>2.564102564102564E-2</v>
      </c>
      <c r="K89" s="250">
        <f>X89/P89</f>
        <v>0.23202614379084968</v>
      </c>
      <c r="L89" s="250">
        <f>(W89+Z89)/P89</f>
        <v>8.3877995642701528E-2</v>
      </c>
      <c r="M89" s="260">
        <f>(1-D89*0.7635+1-E89*0.7562+1-F89*0.75+1-G89*0.7248+1-H89*0.7021+1-I89*0.6285+J89*0.5884+K89*0.5276+1-L89*0.3663)/11.068</f>
        <v>0.50010451699926439</v>
      </c>
      <c r="N89" s="266">
        <f>M89/0.485*100</f>
        <v>103.11433340191019</v>
      </c>
      <c r="O89" s="286">
        <f>(N89-100)/100*P89*0.6611</f>
        <v>18.900571754185933</v>
      </c>
      <c r="P89" s="261">
        <v>918</v>
      </c>
      <c r="Q89" s="261">
        <f>P89-W89-Z89-AA89-AB89</f>
        <v>833</v>
      </c>
      <c r="R89" s="261">
        <v>94</v>
      </c>
      <c r="S89" s="261">
        <v>205</v>
      </c>
      <c r="T89" s="261">
        <v>44</v>
      </c>
      <c r="U89" s="261">
        <v>3</v>
      </c>
      <c r="V89" s="261">
        <v>19</v>
      </c>
      <c r="W89" s="261">
        <v>72</v>
      </c>
      <c r="X89" s="261">
        <v>213</v>
      </c>
      <c r="Y89" s="261">
        <f>S89+T89+U89*2+V89*3</f>
        <v>312</v>
      </c>
      <c r="Z89" s="261">
        <v>5</v>
      </c>
      <c r="AA89" s="261">
        <v>4</v>
      </c>
      <c r="AB89" s="261">
        <v>4</v>
      </c>
      <c r="AC89" s="9"/>
      <c r="AD89" s="37"/>
      <c r="AE89" s="37"/>
    </row>
    <row r="90" spans="1:31" x14ac:dyDescent="0.2">
      <c r="A90" s="9"/>
      <c r="B90" s="251">
        <v>2016</v>
      </c>
      <c r="C90" s="259" t="s">
        <v>420</v>
      </c>
      <c r="D90" s="250">
        <f>(S90-V90)/(Q90-V90-X90+AB90)</f>
        <v>0.26941362916006339</v>
      </c>
      <c r="E90" s="250">
        <f>Y90/P90</f>
        <v>0.34606741573033706</v>
      </c>
      <c r="F90" s="250">
        <f>(T90+U90+V90)/S90</f>
        <v>0.33160621761658032</v>
      </c>
      <c r="G90" s="250">
        <f>(Y90+R90)/P90</f>
        <v>0.44157303370786516</v>
      </c>
      <c r="H90" s="250">
        <f>(Y90/Q90)+((S90+W90+Z90)/(Q90+W90+Z90+AB90))</f>
        <v>0.63468468468468464</v>
      </c>
      <c r="I90" s="250">
        <f>V90/Y90</f>
        <v>7.4675324675324672E-2</v>
      </c>
      <c r="J90" s="250">
        <f>(AA90+AB90)/Y90</f>
        <v>1.6233766233766232E-2</v>
      </c>
      <c r="K90" s="250">
        <f>X90/P90</f>
        <v>0.21235955056179776</v>
      </c>
      <c r="L90" s="250">
        <f>(W90+Z90)/P90</f>
        <v>5.0561797752808987E-2</v>
      </c>
      <c r="M90" s="260">
        <f>(1-D90*0.7635+1-E90*0.7562+1-F90*0.75+1-G90*0.7248+1-H90*0.7021+1-I90*0.6285+J90*0.5884+K90*0.5276+1-L90*0.3663)/11.068</f>
        <v>0.50364801391877989</v>
      </c>
      <c r="N90" s="266">
        <f>M90/0.488*100</f>
        <v>103.20656022925819</v>
      </c>
      <c r="O90" s="286">
        <f>(N90-100)/100*P90*0.6611</f>
        <v>18.866727011307031</v>
      </c>
      <c r="P90" s="261">
        <v>890</v>
      </c>
      <c r="Q90" s="261">
        <f>P90-W90-Z90-AA90-AB90</f>
        <v>840</v>
      </c>
      <c r="R90" s="261">
        <v>85</v>
      </c>
      <c r="S90" s="261">
        <v>193</v>
      </c>
      <c r="T90" s="261">
        <v>36</v>
      </c>
      <c r="U90" s="261">
        <v>5</v>
      </c>
      <c r="V90" s="261">
        <v>23</v>
      </c>
      <c r="W90" s="261">
        <v>32</v>
      </c>
      <c r="X90" s="261">
        <v>189</v>
      </c>
      <c r="Y90" s="261">
        <f>S90+T90+U90*2+V90*3</f>
        <v>308</v>
      </c>
      <c r="Z90" s="261">
        <v>13</v>
      </c>
      <c r="AA90" s="261">
        <v>2</v>
      </c>
      <c r="AB90" s="261">
        <v>3</v>
      </c>
      <c r="AC90" s="9"/>
      <c r="AD90" s="37"/>
      <c r="AE90" s="37"/>
    </row>
    <row r="91" spans="1:31" x14ac:dyDescent="0.2">
      <c r="A91" s="9"/>
      <c r="B91" s="251">
        <v>2010</v>
      </c>
      <c r="C91" s="259" t="s">
        <v>24</v>
      </c>
      <c r="D91" s="250">
        <f>(S91-V91)/(Q91-V91-X91+AB91)</f>
        <v>0.29361702127659572</v>
      </c>
      <c r="E91" s="250">
        <f>Y91/P91</f>
        <v>0.3544813695871098</v>
      </c>
      <c r="F91" s="250">
        <f>(T91+U91+V91)/S91</f>
        <v>0.29870129870129869</v>
      </c>
      <c r="G91" s="250">
        <f>(Y91+R91)/P91</f>
        <v>0.42900302114803623</v>
      </c>
      <c r="H91" s="250">
        <f>(Y91/Q91)+((S91+W91+Z91)/(Q91+W91+Z91+AB91))</f>
        <v>0.64461823966065745</v>
      </c>
      <c r="I91" s="250">
        <f>V91/Y91</f>
        <v>6.8181818181818177E-2</v>
      </c>
      <c r="J91" s="250">
        <f>(AA91+AB91)/Y91</f>
        <v>3.9772727272727272E-2</v>
      </c>
      <c r="K91" s="250">
        <f>X91/P91</f>
        <v>0.22054380664652568</v>
      </c>
      <c r="L91" s="250">
        <f>(W91+Z91)/P91</f>
        <v>3.6253776435045321E-2</v>
      </c>
      <c r="M91" s="260">
        <f>(1-D91*0.7635+1-E91*0.7562+1-F91*0.75+1-G91*0.7248+1-H91*0.7021+1-I91*0.6285+J91*0.5884+K91*0.5276+1-L91*0.3663)/11.068</f>
        <v>0.50631007560826513</v>
      </c>
      <c r="N91" s="266">
        <f>M91/0.4924*100</f>
        <v>102.82495442897341</v>
      </c>
      <c r="O91" s="286">
        <f>(N91-100)/100*P91*0.6611</f>
        <v>18.545043313833631</v>
      </c>
      <c r="P91" s="261">
        <v>993</v>
      </c>
      <c r="Q91" s="261">
        <f>P91-W91-Z91-AA91-AB91</f>
        <v>943</v>
      </c>
      <c r="R91" s="261">
        <v>74</v>
      </c>
      <c r="S91" s="261">
        <v>231</v>
      </c>
      <c r="T91" s="261">
        <v>41</v>
      </c>
      <c r="U91" s="261">
        <v>4</v>
      </c>
      <c r="V91" s="261">
        <v>24</v>
      </c>
      <c r="W91" s="261">
        <v>30</v>
      </c>
      <c r="X91" s="261">
        <v>219</v>
      </c>
      <c r="Y91" s="261">
        <f>S91+T91+U91*2+V91*3</f>
        <v>352</v>
      </c>
      <c r="Z91" s="261">
        <v>6</v>
      </c>
      <c r="AA91" s="261">
        <v>9</v>
      </c>
      <c r="AB91" s="261">
        <v>5</v>
      </c>
      <c r="AC91" s="9"/>
      <c r="AD91" s="37"/>
      <c r="AE91" s="37"/>
    </row>
    <row r="92" spans="1:31" x14ac:dyDescent="0.2">
      <c r="A92" s="9"/>
      <c r="B92" s="251">
        <v>1985</v>
      </c>
      <c r="C92" s="259" t="s">
        <v>441</v>
      </c>
      <c r="D92" s="250">
        <f>(S92-V92)/(Q92-V92-X92+AB92)</f>
        <v>0.2719546742209632</v>
      </c>
      <c r="E92" s="250">
        <f>Y92/P92</f>
        <v>0.33619763694951665</v>
      </c>
      <c r="F92" s="250">
        <f>(T92+U92+V92)/S92</f>
        <v>0.27488151658767773</v>
      </c>
      <c r="G92" s="250">
        <f>(Y92+R92)/P92</f>
        <v>0.42105263157894735</v>
      </c>
      <c r="H92" s="250">
        <f>(Y92/Q92)+((S92+W92+Z92)/(Q92+W92+Z92+AB92))</f>
        <v>0.6284556106934498</v>
      </c>
      <c r="I92" s="250">
        <f>V92/Y92</f>
        <v>6.070287539936102E-2</v>
      </c>
      <c r="J92" s="250">
        <f>(AA92+AB92)/Y92</f>
        <v>5.1118210862619806E-2</v>
      </c>
      <c r="K92" s="250">
        <f>X92/P92</f>
        <v>0.16970998925886144</v>
      </c>
      <c r="L92" s="250">
        <f>(W92+Z92)/P92</f>
        <v>4.1890440386680987E-2</v>
      </c>
      <c r="M92" s="260">
        <f>(1-D92*0.7635+1-E92*0.7562+1-F92*0.75+1-G92*0.7248+1-H92*0.7021+1-I92*0.6285+J92*0.5884+K92*0.5276+1-L92*0.3663)/11.068</f>
        <v>0.51063172246082589</v>
      </c>
      <c r="N92" s="266">
        <f>M92/0.4964*100</f>
        <v>102.86698679710433</v>
      </c>
      <c r="O92" s="286">
        <f>(N92-100)/100*P92*0.6611</f>
        <v>17.645847885276421</v>
      </c>
      <c r="P92" s="261">
        <v>931</v>
      </c>
      <c r="Q92" s="261">
        <f>P92-W92-Z92-AA92-AB92</f>
        <v>876</v>
      </c>
      <c r="R92" s="261">
        <v>79</v>
      </c>
      <c r="S92" s="261">
        <v>211</v>
      </c>
      <c r="T92" s="261">
        <v>33</v>
      </c>
      <c r="U92" s="261">
        <v>6</v>
      </c>
      <c r="V92" s="261">
        <v>19</v>
      </c>
      <c r="W92" s="261">
        <v>38</v>
      </c>
      <c r="X92" s="261">
        <v>158</v>
      </c>
      <c r="Y92" s="261">
        <f>S92+T92+U92*2+V92*3</f>
        <v>313</v>
      </c>
      <c r="Z92" s="261">
        <v>1</v>
      </c>
      <c r="AA92" s="261">
        <v>9</v>
      </c>
      <c r="AB92" s="261">
        <v>7</v>
      </c>
      <c r="AC92" s="9"/>
      <c r="AD92" s="37"/>
      <c r="AE92" s="37"/>
    </row>
    <row r="93" spans="1:31" x14ac:dyDescent="0.2">
      <c r="A93" s="9"/>
      <c r="B93" s="251">
        <v>1978</v>
      </c>
      <c r="C93" s="259" t="s">
        <v>111</v>
      </c>
      <c r="D93" s="250">
        <f>(S93-V93)/(Q93-V93-X93+AB93)</f>
        <v>0.28431372549019607</v>
      </c>
      <c r="E93" s="250">
        <f>Y93/P93</f>
        <v>0.31090047393364928</v>
      </c>
      <c r="F93" s="250">
        <f>(T93+U93+V93)/S93</f>
        <v>0.25726141078838172</v>
      </c>
      <c r="G93" s="250">
        <f>(Y93+R93)/P93</f>
        <v>0.40189573459715638</v>
      </c>
      <c r="H93" s="250">
        <f>(Y93/Q93)+((S93+W93+Z93)/(Q93+W93+Z93+AB93))</f>
        <v>0.63327326972498743</v>
      </c>
      <c r="I93" s="250">
        <f>V93/Y93</f>
        <v>2.7439024390243903E-2</v>
      </c>
      <c r="J93" s="250">
        <f>(AA93+AB93)/Y93</f>
        <v>5.1829268292682924E-2</v>
      </c>
      <c r="K93" s="250">
        <f>X93/P93</f>
        <v>0.14597156398104266</v>
      </c>
      <c r="L93" s="250">
        <f>(W93+Z93)/P93</f>
        <v>6.4454976303317535E-2</v>
      </c>
      <c r="M93" s="260">
        <f>(1-D93*0.7635+1-E93*0.7562+1-F93*0.75+1-G93*0.7248+1-H93*0.7021+1-I93*0.6285+J93*0.5884+K93*0.5276+1-L93*0.3663)/11.068</f>
        <v>0.51369876553749827</v>
      </c>
      <c r="N93" s="266">
        <f>M93/0.5012*100</f>
        <v>102.49376806414571</v>
      </c>
      <c r="O93" s="286">
        <f>(N93-100)/100*P93*0.6611</f>
        <v>17.393047209031007</v>
      </c>
      <c r="P93" s="261">
        <v>1055</v>
      </c>
      <c r="Q93" s="261">
        <f>P93-W93-Z93-AA93-AB93</f>
        <v>970</v>
      </c>
      <c r="R93" s="261">
        <v>96</v>
      </c>
      <c r="S93" s="261">
        <v>241</v>
      </c>
      <c r="T93" s="261">
        <v>46</v>
      </c>
      <c r="U93" s="261">
        <v>7</v>
      </c>
      <c r="V93" s="261">
        <v>9</v>
      </c>
      <c r="W93" s="261">
        <v>66</v>
      </c>
      <c r="X93" s="261">
        <v>154</v>
      </c>
      <c r="Y93" s="261">
        <f>S93+T93+U93*2+V93*3</f>
        <v>328</v>
      </c>
      <c r="Z93" s="261">
        <v>2</v>
      </c>
      <c r="AA93" s="261">
        <v>8</v>
      </c>
      <c r="AB93" s="261">
        <v>9</v>
      </c>
      <c r="AC93" s="9"/>
      <c r="AD93" s="37"/>
      <c r="AE93" s="37"/>
    </row>
    <row r="94" spans="1:31" x14ac:dyDescent="0.2">
      <c r="A94" s="9"/>
      <c r="B94" s="251">
        <v>1977</v>
      </c>
      <c r="C94" s="259" t="s">
        <v>456</v>
      </c>
      <c r="D94" s="250">
        <f>(S94-V94)/(Q94-V94-X94+AB94)</f>
        <v>0.28246013667425968</v>
      </c>
      <c r="E94" s="250">
        <f>Y94/P94</f>
        <v>0.3140794223826715</v>
      </c>
      <c r="F94" s="250">
        <f>(T94+U94+V94)/S94</f>
        <v>0.18320610687022901</v>
      </c>
      <c r="G94" s="250">
        <f>(Y94+R94)/P94</f>
        <v>0.388086642599278</v>
      </c>
      <c r="H94" s="250">
        <f>(Y94/Q94)+((S94+W94+Z94)/(Q94+W94+Z94+AB94))</f>
        <v>0.64421470006190928</v>
      </c>
      <c r="I94" s="250">
        <f>V94/Y94</f>
        <v>4.0229885057471264E-2</v>
      </c>
      <c r="J94" s="250">
        <f>(AA94+AB94)/Y94</f>
        <v>5.7471264367816091E-2</v>
      </c>
      <c r="K94" s="250">
        <f>X94/P94</f>
        <v>0.12274368231046931</v>
      </c>
      <c r="L94" s="250">
        <f>(W94+Z94)/P94</f>
        <v>6.3176895306859202E-2</v>
      </c>
      <c r="M94" s="260">
        <f>(1-D94*0.7635+1-E94*0.7562+1-F94*0.75+1-G94*0.7248+1-H94*0.7021+1-I94*0.6285+J94*0.5884+K94*0.5276+1-L94*0.3663)/11.068</f>
        <v>0.51734652927835523</v>
      </c>
      <c r="N94" s="266">
        <f>M94/0.4939*100</f>
        <v>104.7472219636273</v>
      </c>
      <c r="O94" s="286">
        <f>(N94-100)/100*P94*0.6611</f>
        <v>17.386671958453192</v>
      </c>
      <c r="P94" s="261">
        <v>554</v>
      </c>
      <c r="Q94" s="261">
        <f>P94-W94-Z94-AA94-AB94</f>
        <v>509</v>
      </c>
      <c r="R94" s="261">
        <v>41</v>
      </c>
      <c r="S94" s="261">
        <v>131</v>
      </c>
      <c r="T94" s="261">
        <v>12</v>
      </c>
      <c r="U94" s="261">
        <v>5</v>
      </c>
      <c r="V94" s="261">
        <v>7</v>
      </c>
      <c r="W94" s="261">
        <v>33</v>
      </c>
      <c r="X94" s="261">
        <v>68</v>
      </c>
      <c r="Y94" s="261">
        <f>S94+T94+U94*2+V94*3</f>
        <v>174</v>
      </c>
      <c r="Z94" s="261">
        <v>2</v>
      </c>
      <c r="AA94" s="261">
        <v>5</v>
      </c>
      <c r="AB94" s="261">
        <v>5</v>
      </c>
      <c r="AC94" s="9"/>
      <c r="AD94" s="37"/>
      <c r="AE94" s="37"/>
    </row>
    <row r="95" spans="1:31" x14ac:dyDescent="0.2">
      <c r="A95" s="9"/>
      <c r="B95" s="251">
        <v>2014</v>
      </c>
      <c r="C95" s="259" t="s">
        <v>418</v>
      </c>
      <c r="D95" s="250">
        <f>(S95-V95)/(Q95-V95-X95+AB95)</f>
        <v>0.31848184818481851</v>
      </c>
      <c r="E95" s="250">
        <f>Y95/P95</f>
        <v>0.32176656151419558</v>
      </c>
      <c r="F95" s="250">
        <f>(T95+U95+V95)/S95</f>
        <v>0.3188405797101449</v>
      </c>
      <c r="G95" s="250">
        <f>(Y95+R95)/P95</f>
        <v>0.39747634069400634</v>
      </c>
      <c r="H95" s="250">
        <f>(Y95/Q95)+((S95+W95+Z95)/(Q95+W95+Z95+AB95))</f>
        <v>0.62405285650612208</v>
      </c>
      <c r="I95" s="250">
        <f>V95/Y95</f>
        <v>4.5751633986928102E-2</v>
      </c>
      <c r="J95" s="250">
        <f>(AA95+AB95)/Y95</f>
        <v>2.2875816993464051E-2</v>
      </c>
      <c r="K95" s="250">
        <f>X95/P95</f>
        <v>0.28286014721345953</v>
      </c>
      <c r="L95" s="250">
        <f>(W95+Z95)/P95</f>
        <v>5.993690851735016E-2</v>
      </c>
      <c r="M95" s="260">
        <f>(1-D95*0.7635+1-E95*0.7562+1-F95*0.75+1-G95*0.7248+1-H95*0.7021+1-I95*0.6285+J95*0.5884+K95*0.5276+1-L95*0.3663)/11.068</f>
        <v>0.51139662006336906</v>
      </c>
      <c r="N95" s="266">
        <f>M95/0.4981*100</f>
        <v>102.66946799103978</v>
      </c>
      <c r="O95" s="286">
        <f>(N95-100)/100*P95*0.6611</f>
        <v>16.783108097214555</v>
      </c>
      <c r="P95" s="261">
        <v>951</v>
      </c>
      <c r="Q95" s="261">
        <f>P95-W95-Z95-AA95-AB95</f>
        <v>887</v>
      </c>
      <c r="R95" s="261">
        <v>72</v>
      </c>
      <c r="S95" s="261">
        <v>207</v>
      </c>
      <c r="T95" s="261">
        <v>47</v>
      </c>
      <c r="U95" s="261">
        <v>5</v>
      </c>
      <c r="V95" s="261">
        <v>14</v>
      </c>
      <c r="W95" s="261">
        <v>51</v>
      </c>
      <c r="X95" s="261">
        <v>269</v>
      </c>
      <c r="Y95" s="261">
        <f>S95+T95+U95*2+V95*3</f>
        <v>306</v>
      </c>
      <c r="Z95" s="261">
        <v>6</v>
      </c>
      <c r="AA95" s="261">
        <v>5</v>
      </c>
      <c r="AB95" s="261">
        <v>2</v>
      </c>
      <c r="AC95" s="9"/>
      <c r="AD95" s="37"/>
      <c r="AE95" s="37"/>
    </row>
    <row r="96" spans="1:31" x14ac:dyDescent="0.2">
      <c r="A96" s="9"/>
      <c r="B96" s="251">
        <v>1958</v>
      </c>
      <c r="C96" s="259" t="s">
        <v>467</v>
      </c>
      <c r="D96" s="250">
        <f>(S96-V96)/(Q96-V96-X96+AB96)</f>
        <v>0.2261380323054332</v>
      </c>
      <c r="E96" s="250">
        <f>Y96/P96</f>
        <v>0.28923988153998026</v>
      </c>
      <c r="F96" s="250">
        <f>(T96+U96+V96)/S96</f>
        <v>0.3595505617977528</v>
      </c>
      <c r="G96" s="250">
        <f>(Y96+R96)/P96</f>
        <v>0.37018756169792694</v>
      </c>
      <c r="H96" s="250">
        <f>(Y96/Q96)+((S96+W96+Z96)/(Q96+W96+Z96+AB96))</f>
        <v>0.64953638958381488</v>
      </c>
      <c r="I96" s="250">
        <f>V96/Y96</f>
        <v>8.191126279863481E-2</v>
      </c>
      <c r="J96" s="250">
        <f>(AA96+AB96)/Y96</f>
        <v>3.7542662116040959E-2</v>
      </c>
      <c r="K96" s="250">
        <f>X96/P96</f>
        <v>0.16584402764067127</v>
      </c>
      <c r="L96" s="250">
        <f>(W96+Z96)/P96</f>
        <v>0.13425468904244817</v>
      </c>
      <c r="M96" s="260">
        <f>(1-D96*0.7635+1-E96*0.7562+1-F96*0.75+1-G96*0.7248+1-H96*0.7021+1-I96*0.6285+J96*0.5884+K96*0.5276+1-L96*0.3663)/11.068</f>
        <v>0.50808969450918029</v>
      </c>
      <c r="N96" s="266">
        <f>M96/0.4962*100</f>
        <v>102.39614963909318</v>
      </c>
      <c r="O96" s="286">
        <f>(N96-100)/100*P96*0.6611</f>
        <v>16.046877552477607</v>
      </c>
      <c r="P96" s="261">
        <v>1013</v>
      </c>
      <c r="Q96" s="261">
        <f>P96-W96-Z96-AA96-AB96</f>
        <v>866</v>
      </c>
      <c r="R96" s="261">
        <v>82</v>
      </c>
      <c r="S96" s="261">
        <v>178</v>
      </c>
      <c r="T96" s="261">
        <v>37</v>
      </c>
      <c r="U96" s="261">
        <v>3</v>
      </c>
      <c r="V96" s="261">
        <v>24</v>
      </c>
      <c r="W96" s="261">
        <v>128</v>
      </c>
      <c r="X96" s="261">
        <v>168</v>
      </c>
      <c r="Y96" s="261">
        <f>S96+T96+U96*2+V96*3</f>
        <v>293</v>
      </c>
      <c r="Z96" s="261">
        <v>8</v>
      </c>
      <c r="AA96" s="261">
        <v>4</v>
      </c>
      <c r="AB96" s="261">
        <v>7</v>
      </c>
      <c r="AC96" s="9"/>
      <c r="AD96" s="37"/>
      <c r="AE96" s="37"/>
    </row>
    <row r="97" spans="1:31" x14ac:dyDescent="0.2">
      <c r="A97" s="9"/>
      <c r="B97" s="251">
        <v>1977</v>
      </c>
      <c r="C97" s="259" t="s">
        <v>104</v>
      </c>
      <c r="D97" s="250">
        <f>(S97-V97)/(Q97-V97-X97+AB97)</f>
        <v>0.25185185185185183</v>
      </c>
      <c r="E97" s="250">
        <f>Y97/P97</f>
        <v>0.32422907488986785</v>
      </c>
      <c r="F97" s="250">
        <f>(T97+U97+V97)/S97</f>
        <v>0.36244541484716158</v>
      </c>
      <c r="G97" s="250">
        <f>(Y97+R97)/P97</f>
        <v>0.41145374449339206</v>
      </c>
      <c r="H97" s="250">
        <f>(Y97/Q97)+((S97+W97+Z97)/(Q97+W97+Z97+AB97))</f>
        <v>0.64359679421121407</v>
      </c>
      <c r="I97" s="250">
        <f>V97/Y97</f>
        <v>6.7934782608695649E-2</v>
      </c>
      <c r="J97" s="250">
        <f>(AA97+AB97)/Y97</f>
        <v>3.5326086956521736E-2</v>
      </c>
      <c r="K97" s="250">
        <f>X97/P97</f>
        <v>0.17444933920704847</v>
      </c>
      <c r="L97" s="250">
        <f>(W97+Z97)/P97</f>
        <v>8.1938325991189428E-2</v>
      </c>
      <c r="M97" s="260">
        <f>(1-D97*0.7635+1-E97*0.7562+1-F97*0.75+1-G97*0.7248+1-H97*0.7021+1-I97*0.6285+J97*0.5884+K97*0.5276+1-L97*0.3663)/11.068</f>
        <v>0.50422103013825781</v>
      </c>
      <c r="N97" s="266">
        <f>M97/0.4939*100</f>
        <v>102.08970037219231</v>
      </c>
      <c r="O97" s="286">
        <f>(N97-100)/100*P97*0.6611</f>
        <v>15.680035397239426</v>
      </c>
      <c r="P97" s="261">
        <v>1135</v>
      </c>
      <c r="Q97" s="261">
        <f>P97-W97-Z97-AA97-AB97</f>
        <v>1029</v>
      </c>
      <c r="R97" s="261">
        <v>99</v>
      </c>
      <c r="S97" s="261">
        <v>229</v>
      </c>
      <c r="T97" s="261">
        <v>52</v>
      </c>
      <c r="U97" s="261">
        <v>6</v>
      </c>
      <c r="V97" s="261">
        <v>25</v>
      </c>
      <c r="W97" s="261">
        <v>89</v>
      </c>
      <c r="X97" s="261">
        <v>198</v>
      </c>
      <c r="Y97" s="261">
        <f>S97+T97+U97*2+V97*3</f>
        <v>368</v>
      </c>
      <c r="Z97" s="261">
        <v>4</v>
      </c>
      <c r="AA97" s="261">
        <v>9</v>
      </c>
      <c r="AB97" s="261">
        <v>4</v>
      </c>
      <c r="AC97" s="9"/>
      <c r="AD97" s="37"/>
      <c r="AE97" s="37"/>
    </row>
    <row r="98" spans="1:31" x14ac:dyDescent="0.2">
      <c r="A98" s="9"/>
      <c r="B98" s="251">
        <v>1974</v>
      </c>
      <c r="C98" s="259" t="s">
        <v>458</v>
      </c>
      <c r="D98" s="250">
        <f>(S98-V98)/(Q98-V98-X98+AB98)</f>
        <v>0.23988153998025666</v>
      </c>
      <c r="E98" s="250">
        <f>Y98/P98</f>
        <v>0.32258064516129031</v>
      </c>
      <c r="F98" s="250">
        <f>(T98+U98+V98)/S98</f>
        <v>0.27985074626865669</v>
      </c>
      <c r="G98" s="250">
        <f>(Y98+R98)/P98</f>
        <v>0.40080645161290324</v>
      </c>
      <c r="H98" s="250">
        <f>(Y98/Q98)+((S98+W98+Z98)/(Q98+W98+Z98+AB98))</f>
        <v>0.59991494976416937</v>
      </c>
      <c r="I98" s="250">
        <f>V98/Y98</f>
        <v>6.25E-2</v>
      </c>
      <c r="J98" s="250">
        <f>(AA98+AB98)/Y98</f>
        <v>4.7500000000000001E-2</v>
      </c>
      <c r="K98" s="250">
        <f>X98/P98</f>
        <v>0.11532258064516129</v>
      </c>
      <c r="L98" s="250">
        <f>(W98+Z98)/P98</f>
        <v>4.0322580645161289E-2</v>
      </c>
      <c r="M98" s="260">
        <f>(1-D98*0.7635+1-E98*0.7562+1-F98*0.75+1-G98*0.7248+1-H98*0.7021+1-I98*0.6285+J98*0.5884+K98*0.5276+1-L98*0.3663)/11.068</f>
        <v>0.5137390567900455</v>
      </c>
      <c r="N98" s="266">
        <f>M98/0.5045*100</f>
        <v>101.83132939346791</v>
      </c>
      <c r="O98" s="286">
        <f>(N98-100)/100*P98*0.6611</f>
        <v>15.012579089068286</v>
      </c>
      <c r="P98" s="261">
        <v>1240</v>
      </c>
      <c r="Q98" s="261">
        <f>P98-W98-Z98-AA98-AB98</f>
        <v>1171</v>
      </c>
      <c r="R98" s="261">
        <v>97</v>
      </c>
      <c r="S98" s="261">
        <v>268</v>
      </c>
      <c r="T98" s="261">
        <v>43</v>
      </c>
      <c r="U98" s="261">
        <v>7</v>
      </c>
      <c r="V98" s="261">
        <v>25</v>
      </c>
      <c r="W98" s="261">
        <v>46</v>
      </c>
      <c r="X98" s="261">
        <v>143</v>
      </c>
      <c r="Y98" s="261">
        <f>S98+T98+U98*2+V98*3</f>
        <v>400</v>
      </c>
      <c r="Z98" s="261">
        <v>4</v>
      </c>
      <c r="AA98" s="261">
        <v>9</v>
      </c>
      <c r="AB98" s="261">
        <v>10</v>
      </c>
      <c r="AC98" s="9"/>
      <c r="AD98" s="37"/>
      <c r="AE98" s="37"/>
    </row>
    <row r="99" spans="1:31" x14ac:dyDescent="0.2">
      <c r="A99" s="9"/>
      <c r="B99" s="251">
        <v>2020</v>
      </c>
      <c r="C99" s="259" t="s">
        <v>415</v>
      </c>
      <c r="D99" s="291">
        <f>(S99-V99)/(Q99-V99-X99+AB99)</f>
        <v>0.21476510067114093</v>
      </c>
      <c r="E99" s="250">
        <f>Y99/P99</f>
        <v>0.2805755395683453</v>
      </c>
      <c r="F99" s="250">
        <f>(T99+U99+V99)/S99</f>
        <v>0.3902439024390244</v>
      </c>
      <c r="G99" s="250">
        <f>(Y99+R99)/P99</f>
        <v>0.34172661870503596</v>
      </c>
      <c r="H99" s="250">
        <f>(Y99/Q99)+((S99+W99+Z99)/(Q99+W99+Z99+AB99))</f>
        <v>0.52175004182700346</v>
      </c>
      <c r="I99" s="250">
        <f>V99/Y99</f>
        <v>0.11538461538461539</v>
      </c>
      <c r="J99" s="250">
        <f>(AA99+AB99)/Y99</f>
        <v>0</v>
      </c>
      <c r="K99" s="250">
        <f>X99/P99</f>
        <v>0.35971223021582732</v>
      </c>
      <c r="L99" s="250">
        <f>(W99+Z99)/P99</f>
        <v>7.1942446043165464E-2</v>
      </c>
      <c r="M99" s="260">
        <f>(1-D99*0.7635+1-E99*0.7562+1-F99*0.75+1-G99*0.7248+1-H99*0.7021+1-I99*0.6285+J99*0.5884+K99*0.5276+1-L99*0.3663)/11.068</f>
        <v>0.52476336845768079</v>
      </c>
      <c r="N99" s="266">
        <f>M99/0.4854*100</f>
        <v>108.10947022201911</v>
      </c>
      <c r="O99" s="286">
        <f>(N99-100)/100*P99*0.6611</f>
        <v>14.9040547232996</v>
      </c>
      <c r="P99" s="261">
        <v>278</v>
      </c>
      <c r="Q99" s="261">
        <f>P99-W99-Z99-AA99-AB99</f>
        <v>258</v>
      </c>
      <c r="R99" s="261">
        <v>17</v>
      </c>
      <c r="S99" s="261">
        <v>41</v>
      </c>
      <c r="T99" s="261">
        <v>4</v>
      </c>
      <c r="U99" s="261">
        <v>3</v>
      </c>
      <c r="V99" s="261">
        <v>9</v>
      </c>
      <c r="W99" s="261">
        <v>17</v>
      </c>
      <c r="X99" s="261">
        <v>100</v>
      </c>
      <c r="Y99" s="261">
        <f>S99+T99+U99*2+V99*3</f>
        <v>78</v>
      </c>
      <c r="Z99" s="261">
        <v>3</v>
      </c>
      <c r="AA99" s="261">
        <v>0</v>
      </c>
      <c r="AB99" s="261">
        <v>0</v>
      </c>
      <c r="AC99" s="9"/>
      <c r="AD99" s="37"/>
      <c r="AE99" s="37"/>
    </row>
    <row r="100" spans="1:31" x14ac:dyDescent="0.2">
      <c r="A100" s="9"/>
      <c r="B100" s="251">
        <v>1989</v>
      </c>
      <c r="C100" s="259" t="s">
        <v>442</v>
      </c>
      <c r="D100" s="250">
        <f>(S100-V100)/(Q100-V100-X100+AB100)</f>
        <v>0.25423728813559321</v>
      </c>
      <c r="E100" s="250">
        <f>Y100/P100</f>
        <v>0.26216216216216215</v>
      </c>
      <c r="F100" s="250">
        <f>(T100+U100+V100)/S100</f>
        <v>0.25757575757575757</v>
      </c>
      <c r="G100" s="250">
        <f>(Y100+R100)/P100</f>
        <v>0.31891891891891894</v>
      </c>
      <c r="H100" s="250">
        <f>(Y100/Q100)+((S100+W100+Z100)/(Q100+W100+Z100+AB100))</f>
        <v>0.5636941623317645</v>
      </c>
      <c r="I100" s="250">
        <f>V100/Y100</f>
        <v>6.1855670103092786E-2</v>
      </c>
      <c r="J100" s="250">
        <f>(AA100+AB100)/Y100</f>
        <v>7.2164948453608241E-2</v>
      </c>
      <c r="K100" s="250">
        <f>X100/P100</f>
        <v>0.24864864864864866</v>
      </c>
      <c r="L100" s="250">
        <f>(W100+Z100)/P100</f>
        <v>8.9189189189189194E-2</v>
      </c>
      <c r="M100" s="260">
        <f>(1-D100*0.7635+1-E100*0.7562+1-F100*0.75+1-G100*0.7248+1-H100*0.7021+1-I100*0.6285+J100*0.5884+K100*0.5276+1-L100*0.3663)/11.068</f>
        <v>0.53213240653518257</v>
      </c>
      <c r="N100" s="266">
        <f>M100/0.5019*100</f>
        <v>106.02359165873332</v>
      </c>
      <c r="O100" s="286">
        <f>(N100-100)/100*P100*0.6611</f>
        <v>14.734126848677821</v>
      </c>
      <c r="P100" s="261">
        <v>370</v>
      </c>
      <c r="Q100" s="261">
        <f>P100-W100-Z100-AA100-AB100</f>
        <v>330</v>
      </c>
      <c r="R100" s="261">
        <v>21</v>
      </c>
      <c r="S100" s="261">
        <v>66</v>
      </c>
      <c r="T100" s="261">
        <v>9</v>
      </c>
      <c r="U100" s="261">
        <v>2</v>
      </c>
      <c r="V100" s="261">
        <v>6</v>
      </c>
      <c r="W100" s="261">
        <v>31</v>
      </c>
      <c r="X100" s="261">
        <v>92</v>
      </c>
      <c r="Y100" s="261">
        <f>S100+T100+U100*2+V100*3</f>
        <v>97</v>
      </c>
      <c r="Z100" s="261">
        <v>2</v>
      </c>
      <c r="AA100" s="261">
        <v>3</v>
      </c>
      <c r="AB100" s="261">
        <v>4</v>
      </c>
      <c r="AC100" s="9"/>
      <c r="AD100" s="37"/>
      <c r="AE100" s="37"/>
    </row>
    <row r="101" spans="1:31" x14ac:dyDescent="0.2">
      <c r="A101" s="9"/>
      <c r="B101" s="251">
        <v>1979</v>
      </c>
      <c r="C101" s="259" t="s">
        <v>454</v>
      </c>
      <c r="D101" s="250">
        <f>(S101-V101)/(Q101-V101-X101+AB101)</f>
        <v>0.2810126582278481</v>
      </c>
      <c r="E101" s="250">
        <f>Y101/P101</f>
        <v>0.33456221198156683</v>
      </c>
      <c r="F101" s="250">
        <f>(T101+U101+V101)/S101</f>
        <v>0.2857142857142857</v>
      </c>
      <c r="G101" s="250">
        <f>(Y101+R101)/P101</f>
        <v>0.43317972350230416</v>
      </c>
      <c r="H101" s="250">
        <f>(Y101/Q101)+((S101+W101+Z101)/(Q101+W101+Z101+AB101))</f>
        <v>0.65890239682061247</v>
      </c>
      <c r="I101" s="250">
        <f>V101/Y101</f>
        <v>6.3360881542699726E-2</v>
      </c>
      <c r="J101" s="250">
        <f>(AA101+AB101)/Y101</f>
        <v>3.5812672176308541E-2</v>
      </c>
      <c r="K101" s="250">
        <f>X101/P101</f>
        <v>0.17511520737327188</v>
      </c>
      <c r="L101" s="250">
        <f>(W101+Z101)/P101</f>
        <v>6.7281105990783407E-2</v>
      </c>
      <c r="M101" s="260">
        <f>(1-D101*0.7635+1-E101*0.7562+1-F101*0.75+1-G101*0.7248+1-H101*0.7021+1-I101*0.6285+J101*0.5884+K101*0.5276+1-L101*0.3663)/11.068</f>
        <v>0.50511173803752341</v>
      </c>
      <c r="N101" s="266">
        <f>M101/0.4951*100</f>
        <v>102.02216482276781</v>
      </c>
      <c r="O101" s="286">
        <f>(N101-100)/100*P101*0.6611</f>
        <v>14.504856832999991</v>
      </c>
      <c r="P101" s="261">
        <v>1085</v>
      </c>
      <c r="Q101" s="261">
        <f>P101-W101-Z101-AA101-AB101</f>
        <v>999</v>
      </c>
      <c r="R101" s="261">
        <v>107</v>
      </c>
      <c r="S101" s="261">
        <v>245</v>
      </c>
      <c r="T101" s="261">
        <v>45</v>
      </c>
      <c r="U101" s="261">
        <v>2</v>
      </c>
      <c r="V101" s="261">
        <v>23</v>
      </c>
      <c r="W101" s="261">
        <v>70</v>
      </c>
      <c r="X101" s="261">
        <v>190</v>
      </c>
      <c r="Y101" s="261">
        <f>S101+T101+U101*2+V101*3</f>
        <v>363</v>
      </c>
      <c r="Z101" s="261">
        <v>3</v>
      </c>
      <c r="AA101" s="261">
        <v>9</v>
      </c>
      <c r="AB101" s="261">
        <v>4</v>
      </c>
      <c r="AC101" s="9"/>
      <c r="AD101" s="37"/>
      <c r="AE101" s="37"/>
    </row>
    <row r="102" spans="1:31" x14ac:dyDescent="0.2">
      <c r="A102" s="9"/>
      <c r="B102" s="251">
        <v>2003</v>
      </c>
      <c r="C102" s="259" t="s">
        <v>24</v>
      </c>
      <c r="D102" s="250">
        <f>(S102-V102)/(Q102-V102-X102+AB102)</f>
        <v>0.28481806775407781</v>
      </c>
      <c r="E102" s="250">
        <f>Y102/P102</f>
        <v>0.37254901960784315</v>
      </c>
      <c r="F102" s="250">
        <f>(T102+U102+V102)/S102</f>
        <v>0.34387351778656128</v>
      </c>
      <c r="G102" s="250">
        <f>(Y102+R102)/P102</f>
        <v>0.47619047619047616</v>
      </c>
      <c r="H102" s="250">
        <f>(Y102/Q102)+((S102+W102+Z102)/(Q102+W102+Z102+AB102))</f>
        <v>0.66454919155933134</v>
      </c>
      <c r="I102" s="250">
        <f>V102/Y102</f>
        <v>6.5162907268170422E-2</v>
      </c>
      <c r="J102" s="250">
        <f>(AA102+AB102)/Y102</f>
        <v>1.2531328320802004E-2</v>
      </c>
      <c r="K102" s="250">
        <f>X102/P102</f>
        <v>0.19047619047619047</v>
      </c>
      <c r="L102" s="250">
        <f>(W102+Z102)/P102</f>
        <v>3.8281979458450049E-2</v>
      </c>
      <c r="M102" s="260">
        <f>(1-D102*0.7635+1-E102*0.7562+1-F102*0.75+1-G102*0.7248+1-H102*0.7021+1-I102*0.6285+J102*0.5884+K102*0.5276+1-L102*0.3663)/11.068</f>
        <v>0.4954899664936076</v>
      </c>
      <c r="N102" s="266">
        <f>M102/0.4861*100</f>
        <v>101.9316944031285</v>
      </c>
      <c r="O102" s="286">
        <f>(N102-100)/100*P102*0.6611</f>
        <v>13.677132349717395</v>
      </c>
      <c r="P102" s="261">
        <v>1071</v>
      </c>
      <c r="Q102" s="261">
        <f>P102-W102-Z102-AA102-AB102</f>
        <v>1025</v>
      </c>
      <c r="R102" s="261">
        <v>111</v>
      </c>
      <c r="S102" s="261">
        <v>253</v>
      </c>
      <c r="T102" s="261">
        <v>54</v>
      </c>
      <c r="U102" s="261">
        <v>7</v>
      </c>
      <c r="V102" s="261">
        <v>26</v>
      </c>
      <c r="W102" s="261">
        <v>32</v>
      </c>
      <c r="X102" s="261">
        <v>204</v>
      </c>
      <c r="Y102" s="261">
        <f>S102+T102+U102*2+V102*3</f>
        <v>399</v>
      </c>
      <c r="Z102" s="261">
        <v>9</v>
      </c>
      <c r="AA102" s="261">
        <v>3</v>
      </c>
      <c r="AB102" s="261">
        <v>2</v>
      </c>
      <c r="AC102" s="9"/>
      <c r="AD102" s="37"/>
      <c r="AE102" s="37"/>
    </row>
    <row r="103" spans="1:31" x14ac:dyDescent="0.2">
      <c r="A103" s="9"/>
      <c r="B103" s="251">
        <v>1981</v>
      </c>
      <c r="C103" s="259" t="s">
        <v>108</v>
      </c>
      <c r="D103" s="250">
        <f>(S103-V103)/(Q103-V103-X103+AB103)</f>
        <v>0.24186046511627907</v>
      </c>
      <c r="E103" s="250">
        <f>Y103/P103</f>
        <v>0.25925925925925924</v>
      </c>
      <c r="F103" s="250">
        <f>(T103+U103+V103)/S103</f>
        <v>0.25454545454545452</v>
      </c>
      <c r="G103" s="250">
        <f>(Y103+R103)/P103</f>
        <v>0.28956228956228958</v>
      </c>
      <c r="H103" s="250">
        <f>(Y103/Q103)+((S103+W103+Z103)/(Q103+W103+Z103+AB103))</f>
        <v>0.51247329781226214</v>
      </c>
      <c r="I103" s="250">
        <f>V103/Y103</f>
        <v>3.896103896103896E-2</v>
      </c>
      <c r="J103" s="250">
        <f>(AA103+AB103)/Y103</f>
        <v>6.4935064935064929E-2</v>
      </c>
      <c r="K103" s="250">
        <f>X103/P103</f>
        <v>0.2053872053872054</v>
      </c>
      <c r="L103" s="250">
        <f>(W103+Z103)/P103</f>
        <v>4.7138047138047139E-2</v>
      </c>
      <c r="M103" s="260">
        <f>(1-D103*0.7635+1-E103*0.7562+1-F103*0.75+1-G103*0.7248+1-H103*0.7021+1-I103*0.6285+J103*0.5884+K103*0.5276+1-L103*0.3663)/11.068</f>
        <v>0.53880671705551542</v>
      </c>
      <c r="N103" s="266">
        <f>M103/0.5043*100</f>
        <v>106.84249792891443</v>
      </c>
      <c r="O103" s="286">
        <f>(N103-100)/100*P103*0.6611</f>
        <v>13.435018880991821</v>
      </c>
      <c r="P103" s="261">
        <v>297</v>
      </c>
      <c r="Q103" s="261">
        <f>P103-W103-Z103-AA103-AB103</f>
        <v>278</v>
      </c>
      <c r="R103" s="261">
        <v>9</v>
      </c>
      <c r="S103" s="261">
        <v>55</v>
      </c>
      <c r="T103" s="261">
        <v>9</v>
      </c>
      <c r="U103" s="261">
        <v>2</v>
      </c>
      <c r="V103" s="261">
        <v>3</v>
      </c>
      <c r="W103" s="261">
        <v>13</v>
      </c>
      <c r="X103" s="261">
        <v>61</v>
      </c>
      <c r="Y103" s="261">
        <f>S103+T103+U103*2+V103*3</f>
        <v>77</v>
      </c>
      <c r="Z103" s="261">
        <v>1</v>
      </c>
      <c r="AA103" s="261">
        <v>4</v>
      </c>
      <c r="AB103" s="261">
        <v>1</v>
      </c>
      <c r="AC103" s="9"/>
      <c r="AD103" s="37"/>
      <c r="AE103" s="37"/>
    </row>
    <row r="104" spans="1:31" x14ac:dyDescent="0.2">
      <c r="A104" s="9"/>
      <c r="B104" s="251">
        <v>2007</v>
      </c>
      <c r="C104" s="259" t="s">
        <v>428</v>
      </c>
      <c r="D104" s="250">
        <f>(S104-V104)/(Q104-V104-X104+AB104)</f>
        <v>0.31366906474820144</v>
      </c>
      <c r="E104" s="250">
        <f>Y104/P104</f>
        <v>0.36923076923076925</v>
      </c>
      <c r="F104" s="250">
        <f>(T104+U104+V104)/S104</f>
        <v>0.34033613445378152</v>
      </c>
      <c r="G104" s="250">
        <f>(Y104+R104)/P104</f>
        <v>0.46564102564102566</v>
      </c>
      <c r="H104" s="250">
        <f>(Y104/Q104)+((S104+W104+Z104)/(Q104+W104+Z104+AB104))</f>
        <v>0.68421052631578949</v>
      </c>
      <c r="I104" s="250">
        <f>V104/Y104</f>
        <v>5.5555555555555552E-2</v>
      </c>
      <c r="J104" s="250">
        <f>(AA104+AB104)/Y104</f>
        <v>3.3333333333333333E-2</v>
      </c>
      <c r="K104" s="250">
        <f>X104/P104</f>
        <v>0.21435897435897436</v>
      </c>
      <c r="L104" s="250">
        <f>(W104+Z104)/P104</f>
        <v>4.6153846153846156E-2</v>
      </c>
      <c r="M104" s="260">
        <f>(1-D104*0.7635+1-E104*0.7562+1-F104*0.75+1-G104*0.7248+1-H104*0.7021+1-I104*0.6285+J104*0.5884+K104*0.5276+1-L104*0.3663)/11.068</f>
        <v>0.49593917079088179</v>
      </c>
      <c r="N104" s="266">
        <f>M104/0.4859*100</f>
        <v>102.06609812531011</v>
      </c>
      <c r="O104" s="286">
        <f>(N104-100)/100*P104*0.6611</f>
        <v>13.31750033876448</v>
      </c>
      <c r="P104" s="261">
        <v>975</v>
      </c>
      <c r="Q104" s="261">
        <f>P104-W104-Z104-AA104-AB104</f>
        <v>918</v>
      </c>
      <c r="R104" s="261">
        <v>94</v>
      </c>
      <c r="S104" s="261">
        <v>238</v>
      </c>
      <c r="T104" s="261">
        <v>60</v>
      </c>
      <c r="U104" s="261">
        <v>1</v>
      </c>
      <c r="V104" s="261">
        <v>20</v>
      </c>
      <c r="W104" s="261">
        <v>37</v>
      </c>
      <c r="X104" s="261">
        <v>209</v>
      </c>
      <c r="Y104" s="261">
        <f>S104+T104+U104*2+V104*3</f>
        <v>360</v>
      </c>
      <c r="Z104" s="261">
        <v>8</v>
      </c>
      <c r="AA104" s="261">
        <v>6</v>
      </c>
      <c r="AB104" s="261">
        <v>6</v>
      </c>
      <c r="AC104" s="9"/>
      <c r="AD104" s="37"/>
      <c r="AE104" s="37"/>
    </row>
    <row r="105" spans="1:31" x14ac:dyDescent="0.2">
      <c r="A105" s="9"/>
      <c r="B105" s="251">
        <v>1969</v>
      </c>
      <c r="C105" s="259" t="s">
        <v>386</v>
      </c>
      <c r="D105" s="250">
        <f>(S105-V105)/(Q105-V105-X105+AB105)</f>
        <v>0.25885826771653542</v>
      </c>
      <c r="E105" s="250">
        <f>Y105/P105</f>
        <v>0.32438650306748468</v>
      </c>
      <c r="F105" s="250">
        <f>(T105+U105+V105)/S105</f>
        <v>0.2638888888888889</v>
      </c>
      <c r="G105" s="250">
        <f>(Y105+R105)/P105</f>
        <v>0.40490797546012269</v>
      </c>
      <c r="H105" s="250">
        <f>(Y105/Q105)+((S105+W105+Z105)/(Q105+W105+Z105+AB105))</f>
        <v>0.62579702672510096</v>
      </c>
      <c r="I105" s="250">
        <f>V105/Y105</f>
        <v>5.9101654846335699E-2</v>
      </c>
      <c r="J105" s="250">
        <f>(AA105+AB105)/Y105</f>
        <v>4.2553191489361701E-2</v>
      </c>
      <c r="K105" s="250">
        <f>X105/P105</f>
        <v>0.1388036809815951</v>
      </c>
      <c r="L105" s="250">
        <f>(W105+Z105)/P105</f>
        <v>5.4447852760736194E-2</v>
      </c>
      <c r="M105" s="260">
        <f>(1-D105*0.7635+1-E105*0.7562+1-F105*0.75+1-G105*0.7248+1-H105*0.7021+1-I105*0.6285+J105*0.5884+K105*0.5276+1-L105*0.3663)/11.068</f>
        <v>0.51205963685001687</v>
      </c>
      <c r="N105" s="266">
        <f>M105/0.5043*100</f>
        <v>101.5386945964737</v>
      </c>
      <c r="O105" s="286">
        <f>(N105-100)/100*P105*0.6611</f>
        <v>13.264692210383103</v>
      </c>
      <c r="P105" s="261">
        <v>1304</v>
      </c>
      <c r="Q105" s="261">
        <f>P105-W105-Z105-AA105-AB105</f>
        <v>1215</v>
      </c>
      <c r="R105" s="261">
        <v>105</v>
      </c>
      <c r="S105" s="261">
        <v>288</v>
      </c>
      <c r="T105" s="261">
        <v>42</v>
      </c>
      <c r="U105" s="261">
        <v>9</v>
      </c>
      <c r="V105" s="261">
        <v>25</v>
      </c>
      <c r="W105" s="261">
        <v>67</v>
      </c>
      <c r="X105" s="261">
        <v>181</v>
      </c>
      <c r="Y105" s="261">
        <f>S105+T105+U105*2+V105*3</f>
        <v>423</v>
      </c>
      <c r="Z105" s="261">
        <v>4</v>
      </c>
      <c r="AA105" s="261">
        <v>11</v>
      </c>
      <c r="AB105" s="261">
        <v>7</v>
      </c>
      <c r="AC105" s="9"/>
      <c r="AD105" s="37"/>
      <c r="AE105" s="37"/>
    </row>
    <row r="106" spans="1:31" x14ac:dyDescent="0.2">
      <c r="A106" s="9"/>
      <c r="B106" s="251">
        <v>1988</v>
      </c>
      <c r="C106" s="259" t="s">
        <v>443</v>
      </c>
      <c r="D106" s="250">
        <f>(S106-V106)/(Q106-V106-X106+AB106)</f>
        <v>0.28609271523178809</v>
      </c>
      <c r="E106" s="250">
        <f>Y106/P106</f>
        <v>0.33268671193016491</v>
      </c>
      <c r="F106" s="250">
        <f>(T106+U106+V106)/S106</f>
        <v>0.26271186440677968</v>
      </c>
      <c r="G106" s="250">
        <f>(Y106+R106)/P106</f>
        <v>0.41028128031037825</v>
      </c>
      <c r="H106" s="250">
        <f>(Y106/Q106)+((S106+W106+Z106)/(Q106+W106+Z106+AB106))</f>
        <v>0.64240251508544188</v>
      </c>
      <c r="I106" s="250">
        <f>V106/Y106</f>
        <v>5.8309037900874633E-2</v>
      </c>
      <c r="J106" s="250">
        <f>(AA106+AB106)/Y106</f>
        <v>3.4985422740524783E-2</v>
      </c>
      <c r="K106" s="250">
        <f>X106/P106</f>
        <v>0.18719689621726479</v>
      </c>
      <c r="L106" s="250">
        <f>(W106+Z106)/P106</f>
        <v>5.5286129970902036E-2</v>
      </c>
      <c r="M106" s="260">
        <f>(1-D106*0.7635+1-E106*0.7562+1-F106*0.75+1-G106*0.7248+1-H106*0.7021+1-I106*0.6285+J106*0.5884+K106*0.5276+1-L106*0.3663)/11.068</f>
        <v>0.51021014724422797</v>
      </c>
      <c r="N106" s="266">
        <f>M106/0.5012*100</f>
        <v>101.79771493300638</v>
      </c>
      <c r="O106" s="286">
        <f>(N106-100)/100*P106*0.6611</f>
        <v>12.253118918190406</v>
      </c>
      <c r="P106" s="261">
        <v>1031</v>
      </c>
      <c r="Q106" s="261">
        <f>P106-W106-Z106-AA106-AB106</f>
        <v>962</v>
      </c>
      <c r="R106" s="261">
        <v>80</v>
      </c>
      <c r="S106" s="261">
        <v>236</v>
      </c>
      <c r="T106" s="261">
        <v>37</v>
      </c>
      <c r="U106" s="261">
        <v>5</v>
      </c>
      <c r="V106" s="261">
        <v>20</v>
      </c>
      <c r="W106" s="261">
        <v>54</v>
      </c>
      <c r="X106" s="261">
        <v>193</v>
      </c>
      <c r="Y106" s="261">
        <f>S106+T106+U106*2+V106*3</f>
        <v>343</v>
      </c>
      <c r="Z106" s="261">
        <v>3</v>
      </c>
      <c r="AA106" s="261">
        <v>6</v>
      </c>
      <c r="AB106" s="261">
        <v>6</v>
      </c>
      <c r="AC106" s="9"/>
      <c r="AD106" s="37"/>
      <c r="AE106" s="37"/>
    </row>
    <row r="107" spans="1:31" x14ac:dyDescent="0.2">
      <c r="A107" s="9"/>
      <c r="B107" s="251">
        <v>1968</v>
      </c>
      <c r="C107" s="259" t="s">
        <v>386</v>
      </c>
      <c r="D107" s="250">
        <f>(S107-V107)/(Q107-V107-X107+AB107)</f>
        <v>0.23385300668151449</v>
      </c>
      <c r="E107" s="250">
        <f>Y107/P107</f>
        <v>0.296583850931677</v>
      </c>
      <c r="F107" s="250">
        <f>(T107+U107+V107)/S107</f>
        <v>0.30705394190871371</v>
      </c>
      <c r="G107" s="250">
        <f>(Y107+R107)/P107</f>
        <v>0.36335403726708076</v>
      </c>
      <c r="H107" s="250">
        <f>(Y107/Q107)+((S107+W107+Z107)/(Q107+W107+Z107+AB107))</f>
        <v>0.55931609557844575</v>
      </c>
      <c r="I107" s="250">
        <f>V107/Y107</f>
        <v>8.1151832460732987E-2</v>
      </c>
      <c r="J107" s="250">
        <f>(AA107+AB107)/Y107</f>
        <v>3.4031413612565446E-2</v>
      </c>
      <c r="K107" s="250">
        <f>X107/P107</f>
        <v>0.21739130434782608</v>
      </c>
      <c r="L107" s="250">
        <f>(W107+Z107)/P107</f>
        <v>5.3571428571428568E-2</v>
      </c>
      <c r="M107" s="260">
        <f>(1-D107*0.7635+1-E107*0.7562+1-F107*0.75+1-G107*0.7248+1-H107*0.7021+1-I107*0.6285+J107*0.5884+K107*0.5276+1-L107*0.3663)/11.068</f>
        <v>0.52176760236104525</v>
      </c>
      <c r="N107" s="266">
        <f>M107/0.5146*100</f>
        <v>101.39284927342504</v>
      </c>
      <c r="O107" s="286">
        <f>(N107-100)/100*P107*0.6611</f>
        <v>11.860066992037488</v>
      </c>
      <c r="P107" s="261">
        <v>1288</v>
      </c>
      <c r="Q107" s="261">
        <f>P107-W107-Z107-AA107-AB107</f>
        <v>1206</v>
      </c>
      <c r="R107" s="261">
        <v>86</v>
      </c>
      <c r="S107" s="261">
        <v>241</v>
      </c>
      <c r="T107" s="261">
        <v>38</v>
      </c>
      <c r="U107" s="261">
        <v>5</v>
      </c>
      <c r="V107" s="261">
        <v>31</v>
      </c>
      <c r="W107" s="261">
        <v>63</v>
      </c>
      <c r="X107" s="261">
        <v>280</v>
      </c>
      <c r="Y107" s="261">
        <f>S107+T107+U107*2+V107*3</f>
        <v>382</v>
      </c>
      <c r="Z107" s="261">
        <v>6</v>
      </c>
      <c r="AA107" s="261">
        <v>10</v>
      </c>
      <c r="AB107" s="261">
        <v>3</v>
      </c>
      <c r="AC107" s="9"/>
      <c r="AD107" s="37"/>
      <c r="AE107" s="37"/>
    </row>
    <row r="108" spans="1:31" x14ac:dyDescent="0.2">
      <c r="A108" s="9"/>
      <c r="B108" s="251">
        <v>1993</v>
      </c>
      <c r="C108" s="259" t="s">
        <v>438</v>
      </c>
      <c r="D108" s="250">
        <f>(S108-V108)/(Q108-V108-X108+AB108)</f>
        <v>0.29789864029666252</v>
      </c>
      <c r="E108" s="250">
        <f>Y108/P108</f>
        <v>0.34864104967197751</v>
      </c>
      <c r="F108" s="250">
        <f>(T108+U108+V108)/S108</f>
        <v>0.25670498084291188</v>
      </c>
      <c r="G108" s="250">
        <f>(Y108+R108)/P108</f>
        <v>0.44611059044048734</v>
      </c>
      <c r="H108" s="250">
        <f>(Y108/Q108)+((S108+W108+Z108)/(Q108+W108+Z108+AB108))</f>
        <v>0.69365248503434951</v>
      </c>
      <c r="I108" s="250">
        <f>V108/Y108</f>
        <v>5.3763440860215055E-2</v>
      </c>
      <c r="J108" s="250">
        <f>(AA108+AB108)/Y108</f>
        <v>3.7634408602150539E-2</v>
      </c>
      <c r="K108" s="250">
        <f>X108/P108</f>
        <v>0.14807872539831302</v>
      </c>
      <c r="L108" s="250">
        <f>(W108+Z108)/P108</f>
        <v>6.7478912839737587E-2</v>
      </c>
      <c r="M108" s="260">
        <f>(1-D108*0.7635+1-E108*0.7562+1-F108*0.75+1-G108*0.7248+1-H108*0.7021+1-I108*0.6285+J108*0.5884+K108*0.5276+1-L108*0.3663)/11.068</f>
        <v>0.50124606959100981</v>
      </c>
      <c r="N108" s="266">
        <f>M108/0.493*100</f>
        <v>101.67263074868353</v>
      </c>
      <c r="O108" s="286">
        <f>(N108-100)/100*P108*0.6611</f>
        <v>11.79863192547646</v>
      </c>
      <c r="P108" s="261">
        <v>1067</v>
      </c>
      <c r="Q108" s="261">
        <f>P108-W108-Z108-AA108-AB108</f>
        <v>981</v>
      </c>
      <c r="R108" s="261">
        <v>104</v>
      </c>
      <c r="S108" s="261">
        <v>261</v>
      </c>
      <c r="T108" s="261">
        <v>43</v>
      </c>
      <c r="U108" s="261">
        <v>4</v>
      </c>
      <c r="V108" s="261">
        <v>20</v>
      </c>
      <c r="W108" s="261">
        <v>69</v>
      </c>
      <c r="X108" s="261">
        <v>158</v>
      </c>
      <c r="Y108" s="261">
        <f>S108+T108+U108*2+V108*3</f>
        <v>372</v>
      </c>
      <c r="Z108" s="261">
        <v>3</v>
      </c>
      <c r="AA108" s="261">
        <v>8</v>
      </c>
      <c r="AB108" s="261">
        <v>6</v>
      </c>
      <c r="AC108" s="9"/>
      <c r="AD108" s="37"/>
      <c r="AE108" s="37"/>
    </row>
    <row r="109" spans="1:31" x14ac:dyDescent="0.2">
      <c r="A109" s="9"/>
      <c r="B109" s="251">
        <v>1992</v>
      </c>
      <c r="C109" s="259" t="s">
        <v>75</v>
      </c>
      <c r="D109" s="250">
        <f>(S109-V109)/(Q109-V109-X109+AB109)</f>
        <v>0.29081632653061223</v>
      </c>
      <c r="E109" s="250">
        <f>Y109/P109</f>
        <v>0.29126213592233008</v>
      </c>
      <c r="F109" s="250">
        <f>(T109+U109+V109)/S109</f>
        <v>0.27419354838709675</v>
      </c>
      <c r="G109" s="250">
        <f>(Y109+R109)/P109</f>
        <v>0.34627831715210355</v>
      </c>
      <c r="H109" s="250">
        <f>(Y109/Q109)+((S109+W109+Z109)/(Q109+W109+Z109+AB109))</f>
        <v>0.547952514339069</v>
      </c>
      <c r="I109" s="250">
        <f>V109/Y109</f>
        <v>5.5555555555555552E-2</v>
      </c>
      <c r="J109" s="250">
        <f>(AA109+AB109)/Y109</f>
        <v>3.3333333333333333E-2</v>
      </c>
      <c r="K109" s="250">
        <f>X109/P109</f>
        <v>0.30097087378640774</v>
      </c>
      <c r="L109" s="250">
        <f>(W109+Z109)/P109</f>
        <v>3.8834951456310676E-2</v>
      </c>
      <c r="M109" s="260">
        <f>(1-D109*0.7635+1-E109*0.7562+1-F109*0.75+1-G109*0.7248+1-H109*0.7021+1-I109*0.6285+J109*0.5884+K109*0.5276+1-L109*0.3663)/11.068</f>
        <v>0.52815574797503717</v>
      </c>
      <c r="N109" s="266">
        <f>M109/0.5012*100</f>
        <v>105.37824181465227</v>
      </c>
      <c r="O109" s="286">
        <f>(N109-100)/100*P109*0.6611</f>
        <v>10.986667000729843</v>
      </c>
      <c r="P109" s="261">
        <v>309</v>
      </c>
      <c r="Q109" s="261">
        <f>P109-W109-Z109-AA109-AB109</f>
        <v>294</v>
      </c>
      <c r="R109" s="261">
        <v>17</v>
      </c>
      <c r="S109" s="261">
        <v>62</v>
      </c>
      <c r="T109" s="261">
        <v>11</v>
      </c>
      <c r="U109" s="261">
        <v>1</v>
      </c>
      <c r="V109" s="261">
        <v>5</v>
      </c>
      <c r="W109" s="261">
        <v>11</v>
      </c>
      <c r="X109" s="261">
        <v>93</v>
      </c>
      <c r="Y109" s="261">
        <f>S109+T109+U109*2+V109*3</f>
        <v>90</v>
      </c>
      <c r="Z109" s="261">
        <v>1</v>
      </c>
      <c r="AA109" s="261">
        <v>3</v>
      </c>
      <c r="AB109" s="261">
        <v>0</v>
      </c>
      <c r="AC109" s="9"/>
      <c r="AD109" s="37"/>
      <c r="AE109" s="37"/>
    </row>
    <row r="110" spans="1:31" x14ac:dyDescent="0.2">
      <c r="A110" s="9"/>
      <c r="B110" s="251">
        <v>1987</v>
      </c>
      <c r="C110" s="259" t="s">
        <v>445</v>
      </c>
      <c r="D110" s="250">
        <f>(S110-V110)/(Q110-V110-X110+AB110)</f>
        <v>0.27200000000000002</v>
      </c>
      <c r="E110" s="250">
        <f>Y110/P110</f>
        <v>0.33060109289617484</v>
      </c>
      <c r="F110" s="250">
        <f>(T110+U110+V110)/S110</f>
        <v>0.22784810126582278</v>
      </c>
      <c r="G110" s="250">
        <f>(Y110+R110)/P110</f>
        <v>0.41530054644808745</v>
      </c>
      <c r="H110" s="250">
        <f>(Y110/Q110)+((S110+W110+Z110)/(Q110+W110+Z110+AB110))</f>
        <v>0.65897874580509308</v>
      </c>
      <c r="I110" s="250">
        <f>V110/Y110</f>
        <v>9.0909090909090912E-2</v>
      </c>
      <c r="J110" s="250">
        <f>(AA110+AB110)/Y110</f>
        <v>2.4793388429752067E-2</v>
      </c>
      <c r="K110" s="250">
        <f>X110/P110</f>
        <v>0.20218579234972678</v>
      </c>
      <c r="L110" s="250">
        <f>(W110+Z110)/P110</f>
        <v>7.9234972677595633E-2</v>
      </c>
      <c r="M110" s="260">
        <f>(1-D110*0.7635+1-E110*0.7562+1-F110*0.75+1-G110*0.7248+1-H110*0.7021+1-I110*0.6285+J110*0.5884+K110*0.5276+1-L110*0.3663)/11.068</f>
        <v>0.50983593095182789</v>
      </c>
      <c r="N110" s="266">
        <f>M110/0.4887*100</f>
        <v>104.32492959930997</v>
      </c>
      <c r="O110" s="286">
        <f>(N110-100)/100*P110*0.6611</f>
        <v>10.464712106659981</v>
      </c>
      <c r="P110" s="261">
        <v>366</v>
      </c>
      <c r="Q110" s="261">
        <f>P110-W110-Z110-AA110-AB110</f>
        <v>334</v>
      </c>
      <c r="R110" s="261">
        <v>31</v>
      </c>
      <c r="S110" s="261">
        <v>79</v>
      </c>
      <c r="T110" s="261">
        <v>5</v>
      </c>
      <c r="U110" s="261">
        <v>2</v>
      </c>
      <c r="V110" s="261">
        <v>11</v>
      </c>
      <c r="W110" s="261">
        <v>28</v>
      </c>
      <c r="X110" s="261">
        <v>74</v>
      </c>
      <c r="Y110" s="261">
        <f>S110+T110+U110*2+V110*3</f>
        <v>121</v>
      </c>
      <c r="Z110" s="261">
        <v>1</v>
      </c>
      <c r="AA110" s="261">
        <v>2</v>
      </c>
      <c r="AB110" s="261">
        <v>1</v>
      </c>
      <c r="AC110" s="9"/>
      <c r="AD110" s="37"/>
      <c r="AE110" s="37"/>
    </row>
    <row r="111" spans="1:31" x14ac:dyDescent="0.2">
      <c r="A111" s="9"/>
      <c r="B111" s="251">
        <v>2005</v>
      </c>
      <c r="C111" s="259" t="s">
        <v>432</v>
      </c>
      <c r="D111" s="250">
        <f>(S111-V111)/(Q111-V111-X111+AB111)</f>
        <v>0.28293413173652693</v>
      </c>
      <c r="E111" s="250">
        <f>Y111/P111</f>
        <v>0.38079470198675497</v>
      </c>
      <c r="F111" s="250">
        <f>(T111+U111+V111)/S111</f>
        <v>0.33953488372093021</v>
      </c>
      <c r="G111" s="250">
        <f>(Y111+R111)/P111</f>
        <v>0.48344370860927155</v>
      </c>
      <c r="H111" s="250">
        <f>(Y111/Q111)+((S111+W111+Z111)/(Q111+W111+Z111+AB111))</f>
        <v>0.69828985244005004</v>
      </c>
      <c r="I111" s="250">
        <f>V111/Y111</f>
        <v>7.5362318840579715E-2</v>
      </c>
      <c r="J111" s="250">
        <f>(AA111+AB111)/Y111</f>
        <v>3.7681159420289857E-2</v>
      </c>
      <c r="K111" s="250">
        <f>X111/P111</f>
        <v>0.17328918322295805</v>
      </c>
      <c r="L111" s="250">
        <f>(W111+Z111)/P111</f>
        <v>5.0772626931567331E-2</v>
      </c>
      <c r="M111" s="260">
        <f>(1-D111*0.7635+1-E111*0.7562+1-F111*0.75+1-G111*0.7248+1-H111*0.7021+1-I111*0.6285+J111*0.5884+K111*0.5276+1-L111*0.3663)/11.068</f>
        <v>0.49226039982136915</v>
      </c>
      <c r="N111" s="266">
        <f>M111/0.4873*100</f>
        <v>101.01793552665075</v>
      </c>
      <c r="O111" s="286">
        <f>(N111-100)/100*P111*0.6611</f>
        <v>6.0969920206194006</v>
      </c>
      <c r="P111" s="261">
        <v>906</v>
      </c>
      <c r="Q111" s="261">
        <f>P111-W111-Z111-AA111-AB111</f>
        <v>847</v>
      </c>
      <c r="R111" s="261">
        <v>93</v>
      </c>
      <c r="S111" s="261">
        <v>215</v>
      </c>
      <c r="T111" s="261">
        <v>42</v>
      </c>
      <c r="U111" s="261">
        <v>5</v>
      </c>
      <c r="V111" s="261">
        <v>26</v>
      </c>
      <c r="W111" s="261">
        <v>43</v>
      </c>
      <c r="X111" s="261">
        <v>157</v>
      </c>
      <c r="Y111" s="261">
        <f>S111+T111+U111*2+V111*3</f>
        <v>345</v>
      </c>
      <c r="Z111" s="261">
        <v>3</v>
      </c>
      <c r="AA111" s="261">
        <v>9</v>
      </c>
      <c r="AB111" s="261">
        <v>4</v>
      </c>
      <c r="AC111" s="9"/>
      <c r="AD111" s="37"/>
      <c r="AE111" s="37"/>
    </row>
    <row r="112" spans="1:31" x14ac:dyDescent="0.2">
      <c r="A112" s="9"/>
      <c r="B112" s="251">
        <v>1956</v>
      </c>
      <c r="C112" s="259" t="s">
        <v>394</v>
      </c>
      <c r="D112" s="250">
        <f>(S112-V112)/(Q112-V112-X112+AB112)</f>
        <v>0.22600243013365734</v>
      </c>
      <c r="E112" s="250">
        <f>Y112/P112</f>
        <v>0.35266159695817489</v>
      </c>
      <c r="F112" s="250">
        <f>(T112+U112+V112)/S112</f>
        <v>0.37442922374429222</v>
      </c>
      <c r="G112" s="250">
        <f>(Y112+R112)/P112</f>
        <v>0.44866920152091255</v>
      </c>
      <c r="H112" s="250">
        <f>(Y112/Q112)+((S112+W112+Z112)/(Q112+W112+Z112+AB112))</f>
        <v>0.63069691632678282</v>
      </c>
      <c r="I112" s="250">
        <f>V112/Y112</f>
        <v>8.8948787061994605E-2</v>
      </c>
      <c r="J112" s="250">
        <f>(AA112+AB112)/Y112</f>
        <v>2.9649595687331536E-2</v>
      </c>
      <c r="K112" s="250">
        <f>X112/P112</f>
        <v>0.13212927756653992</v>
      </c>
      <c r="L112" s="250">
        <f>(W112+Z112)/P112</f>
        <v>4.6577946768060839E-2</v>
      </c>
      <c r="M112" s="260">
        <f>(1-D112*0.7635+1-E112*0.7562+1-F112*0.75+1-G112*0.7248+1-H112*0.7021+1-I112*0.6285+J112*0.5884+K112*0.5276+1-L112*0.3663)/11.068</f>
        <v>0.49928859769845485</v>
      </c>
      <c r="N112" s="266">
        <f>M112/0.4951*100</f>
        <v>100.84601044202279</v>
      </c>
      <c r="O112" s="286">
        <f>(N112-100)/100*P112*0.6611</f>
        <v>5.8838097338877082</v>
      </c>
      <c r="P112" s="261">
        <v>1052</v>
      </c>
      <c r="Q112" s="261">
        <f>P112-W112-Z112-AA112-AB112</f>
        <v>992</v>
      </c>
      <c r="R112" s="261">
        <v>101</v>
      </c>
      <c r="S112" s="261">
        <v>219</v>
      </c>
      <c r="T112" s="261">
        <v>45</v>
      </c>
      <c r="U112" s="261">
        <v>4</v>
      </c>
      <c r="V112" s="261">
        <v>33</v>
      </c>
      <c r="W112" s="261">
        <v>46</v>
      </c>
      <c r="X112" s="261">
        <v>139</v>
      </c>
      <c r="Y112" s="261">
        <f>S112+T112+U112*2+V112*3</f>
        <v>371</v>
      </c>
      <c r="Z112" s="261">
        <v>3</v>
      </c>
      <c r="AA112" s="261">
        <v>8</v>
      </c>
      <c r="AB112" s="261">
        <v>3</v>
      </c>
      <c r="AC112" s="9"/>
      <c r="AD112" s="37"/>
      <c r="AE112" s="37"/>
    </row>
    <row r="113" spans="1:31" x14ac:dyDescent="0.2">
      <c r="A113" s="9"/>
      <c r="B113" s="251">
        <v>1967</v>
      </c>
      <c r="C113" s="259" t="s">
        <v>464</v>
      </c>
      <c r="D113" s="250">
        <f>(S113-V113)/(Q113-V113-X113+AB113)</f>
        <v>0.24405506883604505</v>
      </c>
      <c r="E113" s="250">
        <f>Y113/P113</f>
        <v>0.31127679403541475</v>
      </c>
      <c r="F113" s="250">
        <f>(T113+U113+V113)/S113</f>
        <v>0.26363636363636361</v>
      </c>
      <c r="G113" s="250">
        <f>(Y113+R113)/P113</f>
        <v>0.39328984156570362</v>
      </c>
      <c r="H113" s="250">
        <f>(Y113/Q113)+((S113+W113+Z113)/(Q113+W113+Z113+AB113))</f>
        <v>0.63230064445997358</v>
      </c>
      <c r="I113" s="250">
        <f>V113/Y113</f>
        <v>7.4850299401197598E-2</v>
      </c>
      <c r="J113" s="250">
        <f>(AA113+AB113)/Y113</f>
        <v>4.4910179640718563E-2</v>
      </c>
      <c r="K113" s="250">
        <f>X113/P113</f>
        <v>0.13979496738117428</v>
      </c>
      <c r="L113" s="250">
        <f>(W113+Z113)/P113</f>
        <v>8.0149114631873256E-2</v>
      </c>
      <c r="M113" s="260">
        <f>(1-D113*0.7635+1-E113*0.7562+1-F113*0.75+1-G113*0.7248+1-H113*0.7021+1-I113*0.6285+J113*0.5884+K113*0.5276+1-L113*0.3663)/11.068</f>
        <v>0.51276954748394066</v>
      </c>
      <c r="N113" s="266">
        <f>M113/0.5086*100</f>
        <v>100.81980878567451</v>
      </c>
      <c r="O113" s="286">
        <f>(N113-100)/100*P113*0.6611</f>
        <v>5.8153980614870653</v>
      </c>
      <c r="P113" s="261">
        <v>1073</v>
      </c>
      <c r="Q113" s="261">
        <f>P113-W113-Z113-AA113-AB113</f>
        <v>972</v>
      </c>
      <c r="R113" s="261">
        <v>88</v>
      </c>
      <c r="S113" s="261">
        <v>220</v>
      </c>
      <c r="T113" s="261">
        <v>27</v>
      </c>
      <c r="U113" s="261">
        <v>6</v>
      </c>
      <c r="V113" s="261">
        <v>25</v>
      </c>
      <c r="W113" s="261">
        <v>81</v>
      </c>
      <c r="X113" s="261">
        <v>150</v>
      </c>
      <c r="Y113" s="261">
        <f>S113+T113+U113*2+V113*3</f>
        <v>334</v>
      </c>
      <c r="Z113" s="261">
        <v>5</v>
      </c>
      <c r="AA113" s="261">
        <v>13</v>
      </c>
      <c r="AB113" s="261">
        <v>2</v>
      </c>
      <c r="AC113" s="9"/>
      <c r="AD113" s="37"/>
      <c r="AE113" s="37"/>
    </row>
    <row r="114" spans="1:31" x14ac:dyDescent="0.2">
      <c r="A114" s="9"/>
      <c r="B114" s="251">
        <v>1980</v>
      </c>
      <c r="C114" s="259" t="s">
        <v>453</v>
      </c>
      <c r="D114" s="250">
        <f>(S114-V114)/(Q114-V114-X114+AB114)</f>
        <v>0.26439790575916228</v>
      </c>
      <c r="E114" s="250">
        <f>Y114/P114</f>
        <v>0.32347328244274809</v>
      </c>
      <c r="F114" s="250">
        <f>(T114+U114+V114)/S114</f>
        <v>0.29464285714285715</v>
      </c>
      <c r="G114" s="250">
        <f>(Y114+R114)/P114</f>
        <v>0.4217557251908397</v>
      </c>
      <c r="H114" s="250">
        <f>(Y114/Q114)+((S114+W114+Z114)/(Q114+W114+Z114+AB114))</f>
        <v>0.68139225490761413</v>
      </c>
      <c r="I114" s="250">
        <f>V114/Y114</f>
        <v>6.4896755162241887E-2</v>
      </c>
      <c r="J114" s="250">
        <f>(AA114+AB114)/Y114</f>
        <v>2.6548672566371681E-2</v>
      </c>
      <c r="K114" s="250">
        <f>X114/P114</f>
        <v>0.14217557251908397</v>
      </c>
      <c r="L114" s="250">
        <f>(W114+Z114)/P114</f>
        <v>0.10209923664122138</v>
      </c>
      <c r="M114" s="260">
        <f>(1-D114*0.7635+1-E114*0.7562+1-F114*0.75+1-G114*0.7248+1-H114*0.7021+1-I114*0.6285+J114*0.5884+K114*0.5276+1-L114*0.3663)/11.068</f>
        <v>0.50242970890147709</v>
      </c>
      <c r="N114" s="266">
        <f>M114/0.4984*100</f>
        <v>100.80852907333006</v>
      </c>
      <c r="O114" s="286">
        <f>(N114-100)/100*P114*0.6611</f>
        <v>5.6017546175667361</v>
      </c>
      <c r="P114" s="261">
        <v>1048</v>
      </c>
      <c r="Q114" s="261">
        <f>P114-W114-Z114-AA114-AB114</f>
        <v>932</v>
      </c>
      <c r="R114" s="261">
        <v>103</v>
      </c>
      <c r="S114" s="261">
        <v>224</v>
      </c>
      <c r="T114" s="261">
        <v>39</v>
      </c>
      <c r="U114" s="261">
        <v>5</v>
      </c>
      <c r="V114" s="261">
        <v>22</v>
      </c>
      <c r="W114" s="261">
        <v>101</v>
      </c>
      <c r="X114" s="261">
        <v>149</v>
      </c>
      <c r="Y114" s="261">
        <f>S114+T114+U114*2+V114*3</f>
        <v>339</v>
      </c>
      <c r="Z114" s="261">
        <v>6</v>
      </c>
      <c r="AA114" s="261">
        <v>6</v>
      </c>
      <c r="AB114" s="261">
        <v>3</v>
      </c>
      <c r="AC114" s="9"/>
      <c r="AD114" s="37"/>
      <c r="AE114" s="37"/>
    </row>
    <row r="115" spans="1:31" x14ac:dyDescent="0.2">
      <c r="A115" s="9"/>
      <c r="B115" s="251">
        <v>1967</v>
      </c>
      <c r="C115" s="259" t="s">
        <v>463</v>
      </c>
      <c r="D115" s="250">
        <f>(S115-V115)/(Q115-V115-X115+AB115)</f>
        <v>0.27296937416777628</v>
      </c>
      <c r="E115" s="250">
        <f>Y115/P115</f>
        <v>0.30796460176991153</v>
      </c>
      <c r="F115" s="250">
        <f>(T115+U115+V115)/S115</f>
        <v>0.30263157894736842</v>
      </c>
      <c r="G115" s="250">
        <f>(Y115+R115)/P115</f>
        <v>0.39823008849557523</v>
      </c>
      <c r="H115" s="250">
        <f>(Y115/Q115)+((S115+W115+Z115)/(Q115+W115+Z115+AB115))</f>
        <v>0.63799116484538487</v>
      </c>
      <c r="I115" s="250">
        <f>V115/Y115</f>
        <v>6.6091954022988508E-2</v>
      </c>
      <c r="J115" s="250">
        <f>(AA115+AB115)/Y115</f>
        <v>4.5977011494252873E-2</v>
      </c>
      <c r="K115" s="250">
        <f>X115/P115</f>
        <v>0.2176991150442478</v>
      </c>
      <c r="L115" s="250">
        <f>(W115+Z115)/P115</f>
        <v>9.0265486725663716E-2</v>
      </c>
      <c r="M115" s="260">
        <f>(1-D115*0.7635+1-E115*0.7562+1-F115*0.75+1-G115*0.7248+1-H115*0.7021+1-I115*0.6285+J115*0.5884+K115*0.5276+1-L115*0.3663)/11.068</f>
        <v>0.51160719981423353</v>
      </c>
      <c r="N115" s="266">
        <f>M115/0.5086*100</f>
        <v>100.59127011683711</v>
      </c>
      <c r="O115" s="286">
        <f>(N115-100)/100*P115*0.6611</f>
        <v>4.4170420189234418</v>
      </c>
      <c r="P115" s="261">
        <v>1130</v>
      </c>
      <c r="Q115" s="261">
        <f>P115-W115-Z115-AA115-AB115</f>
        <v>1012</v>
      </c>
      <c r="R115" s="261">
        <v>102</v>
      </c>
      <c r="S115" s="261">
        <v>228</v>
      </c>
      <c r="T115" s="261">
        <v>41</v>
      </c>
      <c r="U115" s="261">
        <v>5</v>
      </c>
      <c r="V115" s="261">
        <v>23</v>
      </c>
      <c r="W115" s="261">
        <v>83</v>
      </c>
      <c r="X115" s="261">
        <v>246</v>
      </c>
      <c r="Y115" s="261">
        <f>S115+T115+U115*2+V115*3</f>
        <v>348</v>
      </c>
      <c r="Z115" s="261">
        <v>19</v>
      </c>
      <c r="AA115" s="261">
        <v>8</v>
      </c>
      <c r="AB115" s="261">
        <v>8</v>
      </c>
      <c r="AC115" s="9"/>
      <c r="AD115" s="37"/>
      <c r="AE115" s="37"/>
    </row>
    <row r="116" spans="1:31" x14ac:dyDescent="0.2">
      <c r="A116" s="9"/>
      <c r="B116" s="251">
        <v>1971</v>
      </c>
      <c r="C116" s="259" t="s">
        <v>460</v>
      </c>
      <c r="D116" s="250">
        <f>(S116-V116)/(Q116-V116-X116+AB116)</f>
        <v>0.2882599580712788</v>
      </c>
      <c r="E116" s="250">
        <f>Y116/P116</f>
        <v>0.35488837567359505</v>
      </c>
      <c r="F116" s="250">
        <f>(T116+U116+V116)/S116</f>
        <v>0.28289473684210525</v>
      </c>
      <c r="G116" s="250">
        <f>(Y116+R116)/P116</f>
        <v>0.44264819091608931</v>
      </c>
      <c r="H116" s="250">
        <f>(Y116/Q116)+((S116+W116+Z116)/(Q116+W116+Z116+AB116))</f>
        <v>0.64161088665098798</v>
      </c>
      <c r="I116" s="250">
        <f>V116/Y116</f>
        <v>6.2906724511930592E-2</v>
      </c>
      <c r="J116" s="250">
        <f>(AA116+AB116)/Y116</f>
        <v>4.5553145336225599E-2</v>
      </c>
      <c r="K116" s="250">
        <f>X116/P116</f>
        <v>0.20246343341031564</v>
      </c>
      <c r="L116" s="250">
        <f>(W116+Z116)/P116</f>
        <v>3.2332563510392612E-2</v>
      </c>
      <c r="M116" s="260">
        <f>(1-D116*0.7635+1-E116*0.7562+1-F116*0.75+1-G116*0.7248+1-H116*0.7021+1-I116*0.6285+J116*0.5884+K116*0.5276+1-L116*0.3663)/11.068</f>
        <v>0.50689486368056558</v>
      </c>
      <c r="N116" s="266">
        <f>M116/0.506*100</f>
        <v>100.17685052975605</v>
      </c>
      <c r="O116" s="286">
        <f>(N116-100)/100*P116*0.6611</f>
        <v>1.5187373490302232</v>
      </c>
      <c r="P116" s="261">
        <v>1299</v>
      </c>
      <c r="Q116" s="261">
        <f>P116-W116-Z116-AA116-AB116</f>
        <v>1236</v>
      </c>
      <c r="R116" s="261">
        <v>114</v>
      </c>
      <c r="S116" s="261">
        <v>304</v>
      </c>
      <c r="T116" s="261">
        <v>44</v>
      </c>
      <c r="U116" s="261">
        <v>13</v>
      </c>
      <c r="V116" s="261">
        <v>29</v>
      </c>
      <c r="W116" s="261">
        <v>37</v>
      </c>
      <c r="X116" s="261">
        <v>263</v>
      </c>
      <c r="Y116" s="261">
        <f>S116+T116+U116*2+V116*3</f>
        <v>461</v>
      </c>
      <c r="Z116" s="261">
        <v>5</v>
      </c>
      <c r="AA116" s="261">
        <v>11</v>
      </c>
      <c r="AB116" s="261">
        <v>10</v>
      </c>
      <c r="AC116" s="9"/>
      <c r="AD116" s="37"/>
      <c r="AE116" s="37"/>
    </row>
    <row r="117" spans="1:31" x14ac:dyDescent="0.2">
      <c r="A117" s="9"/>
      <c r="B117" s="251">
        <v>1984</v>
      </c>
      <c r="C117" s="259" t="s">
        <v>448</v>
      </c>
      <c r="D117" s="250">
        <f>(S117-V117)/(Q117-V117-X117+AB117)</f>
        <v>0.30790960451977401</v>
      </c>
      <c r="E117" s="250">
        <f>Y117/P117</f>
        <v>0.34077669902912622</v>
      </c>
      <c r="F117" s="250">
        <f>(T117+U117+V117)/S117</f>
        <v>0.3034188034188034</v>
      </c>
      <c r="G117" s="250">
        <f>(Y117+R117)/P117</f>
        <v>0.45048543689320386</v>
      </c>
      <c r="H117" s="250">
        <f>(Y117/Q117)+((S117+W117+Z117)/(Q117+W117+Z117+AB117))</f>
        <v>0.69035212924476519</v>
      </c>
      <c r="I117" s="250">
        <f>V117/Y117</f>
        <v>4.5584045584045586E-2</v>
      </c>
      <c r="J117" s="250">
        <f>(AA117+AB117)/Y117</f>
        <v>2.564102564102564E-2</v>
      </c>
      <c r="K117" s="250">
        <f>X117/P117</f>
        <v>0.20679611650485438</v>
      </c>
      <c r="L117" s="250">
        <f>(W117+Z117)/P117</f>
        <v>8.5436893203883493E-2</v>
      </c>
      <c r="M117" s="260">
        <f>(1-D117*0.7635+1-E117*0.7562+1-F117*0.75+1-G117*0.7248+1-H117*0.7021+1-I117*0.6285+J117*0.5884+K117*0.5276+1-L117*0.3663)/11.068</f>
        <v>0.49988174953932651</v>
      </c>
      <c r="N117" s="266">
        <f>M117/0.499*100</f>
        <v>100.17670331449429</v>
      </c>
      <c r="O117" s="286">
        <f>(N117-100)/100*P117*0.6611</f>
        <v>1.2032311804854037</v>
      </c>
      <c r="P117" s="261">
        <v>1030</v>
      </c>
      <c r="Q117" s="261">
        <f>P117-W117-Z117-AA117-AB117</f>
        <v>933</v>
      </c>
      <c r="R117" s="261">
        <v>113</v>
      </c>
      <c r="S117" s="261">
        <v>234</v>
      </c>
      <c r="T117" s="261">
        <v>41</v>
      </c>
      <c r="U117" s="261">
        <v>14</v>
      </c>
      <c r="V117" s="261">
        <v>16</v>
      </c>
      <c r="W117" s="261">
        <v>85</v>
      </c>
      <c r="X117" s="261">
        <v>213</v>
      </c>
      <c r="Y117" s="261">
        <f>S117+T117+U117*2+V117*3</f>
        <v>351</v>
      </c>
      <c r="Z117" s="261">
        <v>3</v>
      </c>
      <c r="AA117" s="261">
        <v>5</v>
      </c>
      <c r="AB117" s="261">
        <v>4</v>
      </c>
      <c r="AC117" s="9"/>
      <c r="AD117" s="37"/>
      <c r="AE117" s="37"/>
    </row>
    <row r="118" spans="1:31" x14ac:dyDescent="0.2">
      <c r="A118" s="9"/>
      <c r="B118" s="268">
        <v>1960</v>
      </c>
      <c r="C118" s="269" t="s">
        <v>466</v>
      </c>
      <c r="D118" s="270">
        <f>(S118-V118)/(Q118-V118-X118+AB118)</f>
        <v>0.26927374301675977</v>
      </c>
      <c r="E118" s="270">
        <f>Y118/P118</f>
        <v>0.36846929422548119</v>
      </c>
      <c r="F118" s="270">
        <f>(T118+U118+V118)/S118</f>
        <v>0.2857142857142857</v>
      </c>
      <c r="G118" s="270">
        <f>(Y118+R118)/P118</f>
        <v>0.46379468377635197</v>
      </c>
      <c r="H118" s="270">
        <f>(Y118/Q118)+((S118+W118+Z118)/(Q118+W118+Z118+AB118))</f>
        <v>0.67400874780948583</v>
      </c>
      <c r="I118" s="270">
        <f>V118/Y118</f>
        <v>6.2189054726368161E-2</v>
      </c>
      <c r="J118" s="270">
        <f>(AA118+AB118)/Y118</f>
        <v>2.736318407960199E-2</v>
      </c>
      <c r="K118" s="270">
        <f>X118/P118</f>
        <v>0.10999083409715857</v>
      </c>
      <c r="L118" s="270">
        <f>(W118+Z118)/P118</f>
        <v>4.0329972502291478E-2</v>
      </c>
      <c r="M118" s="271">
        <f>(1-D118*0.7635+1-E118*0.7562+1-F118*0.75+1-G118*0.7248+1-H118*0.7021+1-I118*0.6285+J118*0.5884+K118*0.5276+1-L118*0.3663)/11.068</f>
        <v>0.49804665212762272</v>
      </c>
      <c r="N118" s="272">
        <f>M118/0.4984*100</f>
        <v>99.929103556906639</v>
      </c>
      <c r="O118" s="273">
        <f>(N118-100)/100*P118*0.6611</f>
        <v>-0.51134775635161522</v>
      </c>
      <c r="P118" s="261">
        <v>1091</v>
      </c>
      <c r="Q118" s="261">
        <f>P118-W118-Z118-AA118-AB118</f>
        <v>1036</v>
      </c>
      <c r="R118" s="261">
        <v>104</v>
      </c>
      <c r="S118" s="261">
        <v>266</v>
      </c>
      <c r="T118" s="261">
        <v>41</v>
      </c>
      <c r="U118" s="261">
        <v>10</v>
      </c>
      <c r="V118" s="261">
        <v>25</v>
      </c>
      <c r="W118" s="261">
        <v>40</v>
      </c>
      <c r="X118" s="261">
        <v>120</v>
      </c>
      <c r="Y118" s="261">
        <f>S118+T118+U118*2+V118*3</f>
        <v>402</v>
      </c>
      <c r="Z118" s="261">
        <v>4</v>
      </c>
      <c r="AA118" s="261">
        <v>7</v>
      </c>
      <c r="AB118" s="261">
        <v>4</v>
      </c>
      <c r="AC118" s="9"/>
      <c r="AD118" s="37"/>
      <c r="AE118" s="37"/>
    </row>
    <row r="119" spans="1:31" x14ac:dyDescent="0.2">
      <c r="A119" s="9"/>
      <c r="B119" s="268">
        <v>1982</v>
      </c>
      <c r="C119" s="269" t="s">
        <v>451</v>
      </c>
      <c r="D119" s="270">
        <f>(S119-V119)/(Q119-V119-X119+AB119)</f>
        <v>0.29891304347826086</v>
      </c>
      <c r="E119" s="270">
        <f>Y119/P119</f>
        <v>0.33779608650875387</v>
      </c>
      <c r="F119" s="270">
        <f>(T119+U119+V119)/S119</f>
        <v>0.25213675213675213</v>
      </c>
      <c r="G119" s="270">
        <f>(Y119+R119)/P119</f>
        <v>0.43666323377960864</v>
      </c>
      <c r="H119" s="270">
        <f>(Y119/Q119)+((S119+W119+Z119)/(Q119+W119+Z119+AB119))</f>
        <v>0.73989876163789203</v>
      </c>
      <c r="I119" s="270">
        <f>V119/Y119</f>
        <v>4.2682926829268296E-2</v>
      </c>
      <c r="J119" s="270">
        <f>(AA119+AB119)/Y119</f>
        <v>3.9634146341463415E-2</v>
      </c>
      <c r="K119" s="270">
        <f>X119/P119</f>
        <v>0.10813594232749743</v>
      </c>
      <c r="L119" s="270">
        <f>(W119+Z119)/P119</f>
        <v>0.1101956745623069</v>
      </c>
      <c r="M119" s="271">
        <f>(1-D119*0.7635+1-E119*0.7562+1-F119*0.75+1-G119*0.7248+1-H119*0.7021+1-I119*0.6285+J119*0.5884+K119*0.5276+1-L119*0.3663)/11.068</f>
        <v>0.49732940494844391</v>
      </c>
      <c r="N119" s="272">
        <f>M119/0.4978*100</f>
        <v>99.905465035846504</v>
      </c>
      <c r="O119" s="273">
        <f>(N119-100)/100*P119*0.6611</f>
        <v>-0.60684649922621836</v>
      </c>
      <c r="P119" s="261">
        <v>971</v>
      </c>
      <c r="Q119" s="261">
        <f>P119-W119-Z119-AA119-AB119</f>
        <v>851</v>
      </c>
      <c r="R119" s="261">
        <v>96</v>
      </c>
      <c r="S119" s="261">
        <v>234</v>
      </c>
      <c r="T119" s="261">
        <v>38</v>
      </c>
      <c r="U119" s="261">
        <v>7</v>
      </c>
      <c r="V119" s="261">
        <v>14</v>
      </c>
      <c r="W119" s="261">
        <v>102</v>
      </c>
      <c r="X119" s="261">
        <v>105</v>
      </c>
      <c r="Y119" s="261">
        <f>S119+T119+U119*2+V119*3</f>
        <v>328</v>
      </c>
      <c r="Z119" s="261">
        <v>5</v>
      </c>
      <c r="AA119" s="261">
        <v>9</v>
      </c>
      <c r="AB119" s="261">
        <v>4</v>
      </c>
      <c r="AC119" s="9"/>
      <c r="AD119" s="37"/>
      <c r="AE119" s="37"/>
    </row>
    <row r="120" spans="1:31" x14ac:dyDescent="0.2">
      <c r="A120" s="9"/>
      <c r="B120" s="268">
        <v>1983</v>
      </c>
      <c r="C120" s="269" t="s">
        <v>449</v>
      </c>
      <c r="D120" s="270">
        <f>(S120-V120)/(Q120-V120-X120+AB120)</f>
        <v>0.25394896719319565</v>
      </c>
      <c r="E120" s="270">
        <f>Y120/P120</f>
        <v>0.37040618955512572</v>
      </c>
      <c r="F120" s="270">
        <f>(T120+U120+V120)/S120</f>
        <v>0.36016949152542371</v>
      </c>
      <c r="G120" s="270">
        <f>(Y120+R120)/P120</f>
        <v>0.48162475822050288</v>
      </c>
      <c r="H120" s="270">
        <f>(Y120/Q120)+((S120+W120+Z120)/(Q120+W120+Z120+AB120))</f>
        <v>0.64706286162596838</v>
      </c>
      <c r="I120" s="270">
        <f>V120/Y120</f>
        <v>7.0496083550913843E-2</v>
      </c>
      <c r="J120" s="270">
        <f>(AA120+AB120)/Y120</f>
        <v>3.1331592689295036E-2</v>
      </c>
      <c r="K120" s="270">
        <f>X120/P120</f>
        <v>0.14313346228239845</v>
      </c>
      <c r="L120" s="290">
        <f>(W120+Z120)/P120</f>
        <v>3.0947775628626693E-2</v>
      </c>
      <c r="M120" s="271">
        <f>(1-D120*0.7635+1-E120*0.7562+1-F120*0.75+1-G120*0.7248+1-H120*0.7021+1-I120*0.6285+J120*0.5884+K120*0.5276+1-L120*0.3663)/11.068</f>
        <v>0.496097487312124</v>
      </c>
      <c r="N120" s="272">
        <f>M120/0.4973*100</f>
        <v>99.758191697591798</v>
      </c>
      <c r="O120" s="273">
        <f>(N120-100)/100*P120*0.6611</f>
        <v>-1.6529469065861269</v>
      </c>
      <c r="P120" s="261">
        <v>1034</v>
      </c>
      <c r="Q120" s="261">
        <f>P120-W120-Z120-AA120-AB120</f>
        <v>990</v>
      </c>
      <c r="R120" s="261">
        <v>115</v>
      </c>
      <c r="S120" s="261">
        <v>236</v>
      </c>
      <c r="T120" s="261">
        <v>50</v>
      </c>
      <c r="U120" s="261">
        <v>8</v>
      </c>
      <c r="V120" s="261">
        <v>27</v>
      </c>
      <c r="W120" s="261">
        <v>31</v>
      </c>
      <c r="X120" s="261">
        <v>148</v>
      </c>
      <c r="Y120" s="261">
        <f>S120+T120+U120*2+V120*3</f>
        <v>383</v>
      </c>
      <c r="Z120" s="261">
        <v>1</v>
      </c>
      <c r="AA120" s="261">
        <v>4</v>
      </c>
      <c r="AB120" s="261">
        <v>8</v>
      </c>
      <c r="AC120" s="9"/>
      <c r="AD120" s="37"/>
      <c r="AE120" s="37"/>
    </row>
    <row r="121" spans="1:31" x14ac:dyDescent="0.2">
      <c r="A121" s="9"/>
      <c r="B121" s="268">
        <v>1990</v>
      </c>
      <c r="C121" s="269" t="s">
        <v>439</v>
      </c>
      <c r="D121" s="270">
        <f>(S121-V121)/(Q121-V121-X121+AB121)</f>
        <v>0.25474254742547425</v>
      </c>
      <c r="E121" s="270">
        <f>Y121/P121</f>
        <v>0.35342185903983658</v>
      </c>
      <c r="F121" s="270">
        <f>(T121+U121+V121)/S121</f>
        <v>0.34579439252336447</v>
      </c>
      <c r="G121" s="270">
        <f>(Y121+R121)/P121</f>
        <v>0.44535240040858021</v>
      </c>
      <c r="H121" s="270">
        <f>(Y121/Q121)+((S121+W121+Z121)/(Q121+W121+Z121+AB121))</f>
        <v>0.69473295919858757</v>
      </c>
      <c r="I121" s="270">
        <f>V121/Y121</f>
        <v>7.5144508670520235E-2</v>
      </c>
      <c r="J121" s="270">
        <f>(AA121+AB121)/Y121</f>
        <v>3.1791907514450865E-2</v>
      </c>
      <c r="K121" s="270">
        <f>X121/P121</f>
        <v>0.12972420837589377</v>
      </c>
      <c r="L121" s="270">
        <f>(W121+Z121)/P121</f>
        <v>8.3758937691521956E-2</v>
      </c>
      <c r="M121" s="271">
        <f>(1-D121*0.7635+1-E121*0.7562+1-F121*0.75+1-G121*0.7248+1-H121*0.7021+1-I121*0.6285+J121*0.5884+K121*0.5276+1-L121*0.3663)/11.068</f>
        <v>0.49490213756031204</v>
      </c>
      <c r="N121" s="272">
        <f>M121/0.4985*100</f>
        <v>99.278262298959291</v>
      </c>
      <c r="O121" s="273">
        <f>(N121-100)/100*P121*0.6611</f>
        <v>-4.6712083748069455</v>
      </c>
      <c r="P121" s="261">
        <v>979</v>
      </c>
      <c r="Q121" s="261">
        <f>P121-W121-Z121-AA121-AB121</f>
        <v>886</v>
      </c>
      <c r="R121" s="261">
        <v>90</v>
      </c>
      <c r="S121" s="261">
        <v>214</v>
      </c>
      <c r="T121" s="261">
        <v>42</v>
      </c>
      <c r="U121" s="261">
        <v>6</v>
      </c>
      <c r="V121" s="261">
        <v>26</v>
      </c>
      <c r="W121" s="261">
        <v>77</v>
      </c>
      <c r="X121" s="261">
        <v>127</v>
      </c>
      <c r="Y121" s="261">
        <f>S121+T121+U121*2+V121*3</f>
        <v>346</v>
      </c>
      <c r="Z121" s="261">
        <v>5</v>
      </c>
      <c r="AA121" s="261">
        <v>6</v>
      </c>
      <c r="AB121" s="261">
        <v>5</v>
      </c>
      <c r="AC121" s="9"/>
      <c r="AD121" s="37"/>
      <c r="AE121" s="37"/>
    </row>
    <row r="122" spans="1:31" x14ac:dyDescent="0.2">
      <c r="A122" s="9"/>
      <c r="B122" s="267"/>
      <c r="C122" s="208"/>
      <c r="D122" s="204"/>
      <c r="E122" s="204"/>
      <c r="F122" s="204"/>
      <c r="G122" s="204"/>
      <c r="H122" s="204"/>
      <c r="I122" s="204"/>
      <c r="J122" s="204"/>
      <c r="K122" s="204"/>
      <c r="L122" s="204"/>
      <c r="M122" s="204"/>
      <c r="N122" s="201"/>
      <c r="O122" s="156"/>
      <c r="P122" s="262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  <c r="AC122" s="9"/>
      <c r="AD122" s="37"/>
      <c r="AE122" s="37"/>
    </row>
    <row r="123" spans="1:31" x14ac:dyDescent="0.2">
      <c r="A123" s="9"/>
      <c r="B123" s="267"/>
      <c r="C123" s="216" t="s">
        <v>620</v>
      </c>
      <c r="D123" s="214">
        <f t="shared" ref="D123:M123" si="0">AVERAGE(D2:D121)</f>
        <v>0.26666833176480004</v>
      </c>
      <c r="E123" s="215">
        <f t="shared" si="0"/>
        <v>0.29623716955784068</v>
      </c>
      <c r="F123" s="215">
        <f t="shared" si="0"/>
        <v>0.28849339068703589</v>
      </c>
      <c r="G123" s="215">
        <f t="shared" si="0"/>
        <v>0.37301215845387947</v>
      </c>
      <c r="H123" s="215">
        <f t="shared" si="0"/>
        <v>0.59135256330474351</v>
      </c>
      <c r="I123" s="215">
        <f t="shared" si="0"/>
        <v>6.0188953143433678E-2</v>
      </c>
      <c r="J123" s="215">
        <f t="shared" si="0"/>
        <v>4.107315691981131E-2</v>
      </c>
      <c r="K123" s="215">
        <f t="shared" si="0"/>
        <v>0.22801066827460328</v>
      </c>
      <c r="L123" s="215">
        <f t="shared" si="0"/>
        <v>6.8691106902152993E-2</v>
      </c>
      <c r="M123" s="215">
        <f t="shared" si="0"/>
        <v>0.51969116873178722</v>
      </c>
      <c r="N123" s="245">
        <f>AVERAGE(N2:N121)</f>
        <v>105.06887660122486</v>
      </c>
      <c r="O123" s="217">
        <f>AVERAGE(O2:O121)</f>
        <v>30.013176789411315</v>
      </c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9"/>
      <c r="AD123" s="37"/>
      <c r="AE123" s="37"/>
    </row>
    <row r="124" spans="1:31" x14ac:dyDescent="0.2">
      <c r="A124" s="9"/>
      <c r="B124" s="267"/>
      <c r="C124" s="208"/>
      <c r="D124" s="204"/>
      <c r="E124" s="204"/>
      <c r="F124" s="204"/>
      <c r="G124" s="204"/>
      <c r="H124" s="204"/>
      <c r="I124" s="204"/>
      <c r="J124" s="204"/>
      <c r="K124" s="204"/>
      <c r="L124" s="204"/>
      <c r="M124" s="204"/>
      <c r="N124" s="201"/>
      <c r="O124" s="156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262"/>
      <c r="AC124" s="9"/>
      <c r="AD124" s="37"/>
      <c r="AE124" s="37"/>
    </row>
    <row r="125" spans="1:31" x14ac:dyDescent="0.2">
      <c r="AD125" s="37"/>
      <c r="AE125" s="37"/>
    </row>
    <row r="126" spans="1:31" x14ac:dyDescent="0.2">
      <c r="AD126" s="37"/>
      <c r="AE126" s="37"/>
    </row>
    <row r="127" spans="1:31" x14ac:dyDescent="0.2">
      <c r="AD127" s="37"/>
      <c r="AE127" s="37"/>
    </row>
    <row r="128" spans="1:31" x14ac:dyDescent="0.2">
      <c r="AD128" s="37"/>
      <c r="AE128" s="37"/>
    </row>
    <row r="129" spans="30:31" x14ac:dyDescent="0.2">
      <c r="AD129" s="37"/>
      <c r="AE129" s="37"/>
    </row>
    <row r="130" spans="30:31" x14ac:dyDescent="0.2">
      <c r="AD130" s="37"/>
      <c r="AE130" s="37"/>
    </row>
    <row r="131" spans="30:31" x14ac:dyDescent="0.2">
      <c r="AD131" s="37"/>
      <c r="AE131" s="37"/>
    </row>
    <row r="132" spans="30:31" x14ac:dyDescent="0.2">
      <c r="AD132" s="37"/>
      <c r="AE132" s="37"/>
    </row>
    <row r="133" spans="30:31" x14ac:dyDescent="0.2">
      <c r="AD133" s="37"/>
      <c r="AE133" s="37"/>
    </row>
    <row r="134" spans="30:31" x14ac:dyDescent="0.2">
      <c r="AD134" s="37"/>
      <c r="AE134" s="37"/>
    </row>
    <row r="135" spans="30:31" x14ac:dyDescent="0.2">
      <c r="AD135" s="37"/>
      <c r="AE135" s="37"/>
    </row>
    <row r="136" spans="30:31" x14ac:dyDescent="0.2">
      <c r="AD136" s="37"/>
      <c r="AE136" s="37"/>
    </row>
    <row r="137" spans="30:31" x14ac:dyDescent="0.2">
      <c r="AD137" s="37"/>
      <c r="AE137" s="37"/>
    </row>
    <row r="138" spans="30:31" x14ac:dyDescent="0.2">
      <c r="AD138" s="37"/>
      <c r="AE138" s="37"/>
    </row>
    <row r="139" spans="30:31" x14ac:dyDescent="0.2">
      <c r="AD139" s="37"/>
      <c r="AE139" s="37"/>
    </row>
    <row r="140" spans="30:31" x14ac:dyDescent="0.2">
      <c r="AD140" s="37"/>
      <c r="AE140" s="37"/>
    </row>
    <row r="141" spans="30:31" x14ac:dyDescent="0.2">
      <c r="AD141" s="37"/>
      <c r="AE141" s="37"/>
    </row>
    <row r="142" spans="30:31" x14ac:dyDescent="0.2">
      <c r="AD142" s="37"/>
      <c r="AE142" s="37"/>
    </row>
    <row r="143" spans="30:31" x14ac:dyDescent="0.2">
      <c r="AD143" s="37"/>
      <c r="AE143" s="37"/>
    </row>
    <row r="144" spans="30:31" x14ac:dyDescent="0.2">
      <c r="AD144" s="37"/>
      <c r="AE144" s="37"/>
    </row>
    <row r="145" spans="30:31" x14ac:dyDescent="0.2">
      <c r="AD145" s="37"/>
      <c r="AE145" s="37"/>
    </row>
    <row r="146" spans="30:31" x14ac:dyDescent="0.2">
      <c r="AD146" s="37"/>
      <c r="AE146" s="37"/>
    </row>
    <row r="147" spans="30:31" x14ac:dyDescent="0.2">
      <c r="AD147" s="37"/>
      <c r="AE147" s="37"/>
    </row>
    <row r="148" spans="30:31" x14ac:dyDescent="0.2">
      <c r="AD148" s="37"/>
      <c r="AE148" s="37"/>
    </row>
    <row r="149" spans="30:31" x14ac:dyDescent="0.2">
      <c r="AD149" s="37"/>
      <c r="AE149" s="37"/>
    </row>
    <row r="150" spans="30:31" x14ac:dyDescent="0.2">
      <c r="AD150" s="37"/>
      <c r="AE150" s="37"/>
    </row>
    <row r="151" spans="30:31" x14ac:dyDescent="0.2">
      <c r="AD151" s="37"/>
      <c r="AE151" s="37"/>
    </row>
    <row r="152" spans="30:31" x14ac:dyDescent="0.2">
      <c r="AD152" s="37"/>
      <c r="AE152" s="37"/>
    </row>
    <row r="153" spans="30:31" x14ac:dyDescent="0.2">
      <c r="AD153" s="37"/>
      <c r="AE153" s="37"/>
    </row>
    <row r="154" spans="30:31" x14ac:dyDescent="0.2">
      <c r="AD154" s="37"/>
      <c r="AE154" s="37"/>
    </row>
    <row r="155" spans="30:31" x14ac:dyDescent="0.2">
      <c r="AD155" s="37"/>
      <c r="AE155" s="37"/>
    </row>
    <row r="156" spans="30:31" x14ac:dyDescent="0.2">
      <c r="AD156" s="37"/>
      <c r="AE156" s="37"/>
    </row>
    <row r="157" spans="30:31" x14ac:dyDescent="0.2">
      <c r="AD157" s="37"/>
      <c r="AE157" s="37"/>
    </row>
    <row r="158" spans="30:31" x14ac:dyDescent="0.2">
      <c r="AD158" s="37"/>
      <c r="AE158" s="37"/>
    </row>
    <row r="159" spans="30:31" x14ac:dyDescent="0.2">
      <c r="AD159" s="37"/>
      <c r="AE159" s="37"/>
    </row>
    <row r="160" spans="30:31" x14ac:dyDescent="0.2">
      <c r="AD160" s="37"/>
      <c r="AE160" s="37"/>
    </row>
    <row r="161" spans="30:31" x14ac:dyDescent="0.2">
      <c r="AD161" s="37"/>
      <c r="AE161" s="37"/>
    </row>
    <row r="162" spans="30:31" x14ac:dyDescent="0.2">
      <c r="AD162" s="37"/>
      <c r="AE162" s="37"/>
    </row>
    <row r="163" spans="30:31" x14ac:dyDescent="0.2">
      <c r="AD163" s="37"/>
      <c r="AE163" s="37"/>
    </row>
    <row r="164" spans="30:31" x14ac:dyDescent="0.2">
      <c r="AD164" s="37"/>
      <c r="AE164" s="37"/>
    </row>
    <row r="165" spans="30:31" x14ac:dyDescent="0.2">
      <c r="AD165" s="37"/>
      <c r="AE165" s="37"/>
    </row>
    <row r="166" spans="30:31" x14ac:dyDescent="0.2">
      <c r="AD166" s="37"/>
      <c r="AE166" s="37"/>
    </row>
    <row r="167" spans="30:31" x14ac:dyDescent="0.2">
      <c r="AD167" s="37"/>
      <c r="AE167" s="37"/>
    </row>
    <row r="168" spans="30:31" x14ac:dyDescent="0.2">
      <c r="AD168" s="37"/>
      <c r="AE168" s="37"/>
    </row>
    <row r="169" spans="30:31" x14ac:dyDescent="0.2">
      <c r="AD169" s="37"/>
      <c r="AE169" s="37"/>
    </row>
    <row r="170" spans="30:31" x14ac:dyDescent="0.2">
      <c r="AD170" s="37"/>
      <c r="AE170" s="37"/>
    </row>
    <row r="171" spans="30:31" x14ac:dyDescent="0.2">
      <c r="AD171" s="37"/>
      <c r="AE171" s="37"/>
    </row>
    <row r="172" spans="30:31" x14ac:dyDescent="0.2">
      <c r="AD172" s="37"/>
      <c r="AE172" s="37"/>
    </row>
    <row r="173" spans="30:31" x14ac:dyDescent="0.2">
      <c r="AD173" s="37"/>
      <c r="AE173" s="37"/>
    </row>
    <row r="174" spans="30:31" x14ac:dyDescent="0.2">
      <c r="AD174" s="37"/>
      <c r="AE174" s="37"/>
    </row>
    <row r="175" spans="30:31" x14ac:dyDescent="0.2">
      <c r="AD175" s="37"/>
      <c r="AE175" s="37"/>
    </row>
    <row r="176" spans="30:31" x14ac:dyDescent="0.2">
      <c r="AD176" s="37"/>
      <c r="AE176" s="37"/>
    </row>
    <row r="177" spans="30:32" x14ac:dyDescent="0.2">
      <c r="AD177" s="37"/>
      <c r="AE177" s="37"/>
    </row>
    <row r="178" spans="30:32" x14ac:dyDescent="0.2">
      <c r="AD178" s="37"/>
      <c r="AE178" s="37"/>
    </row>
    <row r="179" spans="30:32" x14ac:dyDescent="0.2">
      <c r="AD179" s="37"/>
      <c r="AE179" s="37"/>
    </row>
    <row r="180" spans="30:32" x14ac:dyDescent="0.2">
      <c r="AD180" s="37"/>
      <c r="AE180" s="37"/>
    </row>
    <row r="181" spans="30:32" x14ac:dyDescent="0.2">
      <c r="AD181" s="37"/>
      <c r="AE181" s="37"/>
    </row>
    <row r="182" spans="30:32" x14ac:dyDescent="0.2">
      <c r="AD182" s="37"/>
      <c r="AE182" s="37"/>
    </row>
    <row r="183" spans="30:32" x14ac:dyDescent="0.2">
      <c r="AD183" s="37"/>
      <c r="AE183" s="37"/>
    </row>
    <row r="184" spans="30:32" x14ac:dyDescent="0.2">
      <c r="AD184" s="37"/>
      <c r="AE184" s="37"/>
    </row>
    <row r="185" spans="30:32" x14ac:dyDescent="0.2">
      <c r="AD185" s="36"/>
      <c r="AE185" s="36"/>
      <c r="AF185" s="28"/>
    </row>
    <row r="186" spans="30:32" x14ac:dyDescent="0.2">
      <c r="AD186" s="37"/>
      <c r="AE186" s="37"/>
    </row>
    <row r="187" spans="30:32" x14ac:dyDescent="0.2">
      <c r="AD187" s="37"/>
      <c r="AE187" s="37"/>
    </row>
    <row r="188" spans="30:32" x14ac:dyDescent="0.2">
      <c r="AD188" s="37"/>
      <c r="AE188" s="37"/>
    </row>
    <row r="189" spans="30:32" x14ac:dyDescent="0.2">
      <c r="AD189" s="37"/>
      <c r="AE189" s="37"/>
    </row>
    <row r="190" spans="30:32" x14ac:dyDescent="0.2">
      <c r="AD190" s="37"/>
      <c r="AE190" s="37"/>
    </row>
    <row r="191" spans="30:32" x14ac:dyDescent="0.2">
      <c r="AD191" s="37"/>
      <c r="AE191" s="37"/>
    </row>
    <row r="192" spans="30:32" x14ac:dyDescent="0.2">
      <c r="AD192" s="37"/>
      <c r="AE192" s="37"/>
    </row>
    <row r="193" spans="30:31" x14ac:dyDescent="0.2">
      <c r="AD193" s="37"/>
      <c r="AE193" s="37"/>
    </row>
    <row r="194" spans="30:31" x14ac:dyDescent="0.2">
      <c r="AD194" s="37"/>
      <c r="AE194" s="37"/>
    </row>
    <row r="195" spans="30:31" x14ac:dyDescent="0.2">
      <c r="AD195" s="37"/>
      <c r="AE195" s="37"/>
    </row>
    <row r="196" spans="30:31" x14ac:dyDescent="0.2">
      <c r="AD196" s="37"/>
      <c r="AE196" s="37"/>
    </row>
    <row r="197" spans="30:31" x14ac:dyDescent="0.2">
      <c r="AD197" s="37"/>
      <c r="AE197" s="37"/>
    </row>
    <row r="198" spans="30:31" x14ac:dyDescent="0.2">
      <c r="AD198" s="37"/>
      <c r="AE198" s="37"/>
    </row>
    <row r="199" spans="30:31" x14ac:dyDescent="0.2">
      <c r="AD199" s="37"/>
      <c r="AE199" s="37"/>
    </row>
    <row r="200" spans="30:31" x14ac:dyDescent="0.2">
      <c r="AD200" s="37"/>
      <c r="AE200" s="37"/>
    </row>
    <row r="201" spans="30:31" x14ac:dyDescent="0.2">
      <c r="AD201" s="37"/>
      <c r="AE201" s="37"/>
    </row>
    <row r="202" spans="30:31" x14ac:dyDescent="0.2">
      <c r="AD202" s="37"/>
      <c r="AE202" s="37"/>
    </row>
    <row r="203" spans="30:31" x14ac:dyDescent="0.2">
      <c r="AD203" s="37"/>
      <c r="AE203" s="37"/>
    </row>
    <row r="204" spans="30:31" x14ac:dyDescent="0.2">
      <c r="AD204" s="37"/>
      <c r="AE204" s="37"/>
    </row>
    <row r="205" spans="30:31" x14ac:dyDescent="0.2">
      <c r="AD205" s="37"/>
      <c r="AE205" s="37"/>
    </row>
    <row r="206" spans="30:31" x14ac:dyDescent="0.2">
      <c r="AD206" s="37"/>
      <c r="AE206" s="37"/>
    </row>
    <row r="230" spans="30:31" x14ac:dyDescent="0.2">
      <c r="AD230" s="34"/>
      <c r="AE230" s="34"/>
    </row>
    <row r="265" spans="1:29" x14ac:dyDescent="0.2">
      <c r="A265" s="28"/>
      <c r="AC265" s="28"/>
    </row>
  </sheetData>
  <sortState xmlns:xlrd2="http://schemas.microsoft.com/office/spreadsheetml/2017/richdata2" ref="B2:AB121">
    <sortCondition descending="1" ref="O2:O12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A97E-F92B-7F4D-A207-DB9C603331A6}">
  <dimension ref="A1:AF265"/>
  <sheetViews>
    <sheetView topLeftCell="P1" zoomScale="150" zoomScaleNormal="150" zoomScaleSheetLayoutView="100" workbookViewId="0">
      <pane ySplit="1" topLeftCell="P78" activePane="bottomLeft" state="frozen"/>
      <selection activeCell="P1" sqref="P1"/>
      <selection pane="bottomLeft" activeCell="C92" sqref="C92"/>
    </sheetView>
  </sheetViews>
  <sheetFormatPr defaultColWidth="8.875" defaultRowHeight="15" x14ac:dyDescent="0.2"/>
  <cols>
    <col min="1" max="1" width="2.28515625" style="17" customWidth="1"/>
    <col min="2" max="2" width="5.24609375" style="1" bestFit="1" customWidth="1"/>
    <col min="3" max="3" width="18.29296875" style="209" bestFit="1" customWidth="1"/>
    <col min="4" max="7" width="6.859375" style="205" bestFit="1" customWidth="1"/>
    <col min="8" max="8" width="6.9921875" style="205" bestFit="1" customWidth="1"/>
    <col min="9" max="11" width="6.859375" style="205" bestFit="1" customWidth="1"/>
    <col min="12" max="12" width="7.80078125" style="205" bestFit="1" customWidth="1"/>
    <col min="13" max="13" width="6.859375" style="205" bestFit="1" customWidth="1"/>
    <col min="14" max="14" width="6.859375" style="202" bestFit="1" customWidth="1"/>
    <col min="15" max="15" width="5.51171875" style="249" bestFit="1" customWidth="1"/>
    <col min="16" max="17" width="4.16796875" style="274" bestFit="1" customWidth="1"/>
    <col min="18" max="18" width="3.09375" style="274" bestFit="1" customWidth="1"/>
    <col min="19" max="19" width="4.16796875" style="274" bestFit="1" customWidth="1"/>
    <col min="20" max="21" width="3.2265625" style="274" bestFit="1" customWidth="1"/>
    <col min="22" max="22" width="3.49609375" style="274" bestFit="1" customWidth="1"/>
    <col min="23" max="23" width="3.359375" style="274" bestFit="1" customWidth="1"/>
    <col min="24" max="25" width="4.16796875" style="274" bestFit="1" customWidth="1"/>
    <col min="26" max="26" width="4.5703125" style="274" bestFit="1" customWidth="1"/>
    <col min="27" max="27" width="3.2265625" style="274" bestFit="1" customWidth="1"/>
    <col min="28" max="28" width="2.82421875" style="274" bestFit="1" customWidth="1"/>
    <col min="29" max="29" width="2.28515625" style="17" customWidth="1"/>
    <col min="30" max="30" width="5.24609375" style="32" bestFit="1" customWidth="1"/>
    <col min="31" max="31" width="6.859375" style="32" bestFit="1" customWidth="1"/>
    <col min="32" max="32" width="2.28515625" style="17" customWidth="1"/>
    <col min="33" max="16384" width="8.875" style="2"/>
  </cols>
  <sheetData>
    <row r="1" spans="1:32" s="1" customFormat="1" x14ac:dyDescent="0.2">
      <c r="A1" s="8"/>
      <c r="B1" s="251" t="s">
        <v>0</v>
      </c>
      <c r="C1" s="252" t="s">
        <v>1</v>
      </c>
      <c r="D1" s="253" t="s">
        <v>12</v>
      </c>
      <c r="E1" s="253" t="s">
        <v>13</v>
      </c>
      <c r="F1" s="253" t="s">
        <v>287</v>
      </c>
      <c r="G1" s="253" t="s">
        <v>288</v>
      </c>
      <c r="H1" s="253" t="s">
        <v>14</v>
      </c>
      <c r="I1" s="253" t="s">
        <v>286</v>
      </c>
      <c r="J1" s="253" t="s">
        <v>289</v>
      </c>
      <c r="K1" s="253" t="s">
        <v>15</v>
      </c>
      <c r="L1" s="253" t="s">
        <v>290</v>
      </c>
      <c r="M1" s="254" t="s">
        <v>282</v>
      </c>
      <c r="N1" s="255" t="s">
        <v>291</v>
      </c>
      <c r="O1" s="263" t="s">
        <v>326</v>
      </c>
      <c r="P1" s="275" t="s">
        <v>7</v>
      </c>
      <c r="Q1" s="275" t="s">
        <v>8</v>
      </c>
      <c r="R1" s="275" t="s">
        <v>17</v>
      </c>
      <c r="S1" s="275" t="s">
        <v>6</v>
      </c>
      <c r="T1" s="275" t="s">
        <v>292</v>
      </c>
      <c r="U1" s="275" t="s">
        <v>293</v>
      </c>
      <c r="V1" s="275" t="s">
        <v>2</v>
      </c>
      <c r="W1" s="275" t="s">
        <v>9</v>
      </c>
      <c r="X1" s="275" t="s">
        <v>4</v>
      </c>
      <c r="Y1" s="275" t="s">
        <v>5</v>
      </c>
      <c r="Z1" s="275" t="s">
        <v>11</v>
      </c>
      <c r="AA1" s="275" t="s">
        <v>16</v>
      </c>
      <c r="AB1" s="275" t="s">
        <v>10</v>
      </c>
      <c r="AC1" s="8"/>
      <c r="AD1" s="80" t="s">
        <v>0</v>
      </c>
      <c r="AE1" s="82" t="s">
        <v>278</v>
      </c>
      <c r="AF1" s="8"/>
    </row>
    <row r="2" spans="1:32" x14ac:dyDescent="0.2">
      <c r="A2" s="9"/>
      <c r="B2" s="251">
        <v>1979</v>
      </c>
      <c r="C2" s="259" t="s">
        <v>513</v>
      </c>
      <c r="D2" s="250">
        <f>(S2-V2)/(Q2-V2-X2+AB2)</f>
        <v>0.26038781163434904</v>
      </c>
      <c r="E2" s="250">
        <f>Y2/P2</f>
        <v>0.22491349480968859</v>
      </c>
      <c r="F2" s="250">
        <f>(T2+U2+V2)/S2</f>
        <v>0.20202020202020202</v>
      </c>
      <c r="G2" s="250">
        <f>(Y2+R2)/P2</f>
        <v>0.28546712802768165</v>
      </c>
      <c r="H2" s="250">
        <f>(Y2/Q2)+((S2+W2+Z2)/(Q2+W2+Z2+AB2))</f>
        <v>0.54850690780854994</v>
      </c>
      <c r="I2" s="250">
        <f>V2/Y2</f>
        <v>3.8461538461538464E-2</v>
      </c>
      <c r="J2" s="250">
        <f>(AA2+AB2)/Y2</f>
        <v>0.11538461538461539</v>
      </c>
      <c r="K2" s="250">
        <f>X2/P2</f>
        <v>0.23529411764705882</v>
      </c>
      <c r="L2" s="250">
        <f>(W2+Z2)/P2</f>
        <v>0.11072664359861592</v>
      </c>
      <c r="M2" s="260">
        <f>(1-D2*0.7635+1-E2*0.7562+1-F2*0.75+1-G2*0.7248+1-H2*0.7021+1-I2*0.6285+J2*0.5884+K2*0.5276+1-L2*0.3663)/11.068</f>
        <v>0.54344842183318909</v>
      </c>
      <c r="N2" s="266">
        <f>M2/0.4951*100</f>
        <v>109.76538514101981</v>
      </c>
      <c r="O2" s="297">
        <f>(N2-100)/100*P2*0.6611</f>
        <v>37.315079554688957</v>
      </c>
      <c r="P2" s="295">
        <v>578</v>
      </c>
      <c r="Q2" s="276">
        <f>P2-W2-Z2-AA2-AB2</f>
        <v>499</v>
      </c>
      <c r="R2" s="276">
        <v>35</v>
      </c>
      <c r="S2" s="276">
        <v>99</v>
      </c>
      <c r="T2" s="276">
        <v>14</v>
      </c>
      <c r="U2" s="276">
        <v>1</v>
      </c>
      <c r="V2" s="276">
        <v>5</v>
      </c>
      <c r="W2" s="276">
        <v>62</v>
      </c>
      <c r="X2" s="277">
        <v>136</v>
      </c>
      <c r="Y2" s="276">
        <f>S2+T2+U2*2+V2*3</f>
        <v>130</v>
      </c>
      <c r="Z2" s="276">
        <v>2</v>
      </c>
      <c r="AA2" s="276">
        <v>12</v>
      </c>
      <c r="AB2" s="276">
        <v>3</v>
      </c>
      <c r="AC2" s="9"/>
      <c r="AD2" s="6">
        <v>2021</v>
      </c>
      <c r="AE2" s="84">
        <v>0.4908866263541139</v>
      </c>
      <c r="AF2" s="9"/>
    </row>
    <row r="3" spans="1:32" x14ac:dyDescent="0.2">
      <c r="A3" s="9"/>
      <c r="B3" s="251">
        <v>2003</v>
      </c>
      <c r="C3" s="259" t="s">
        <v>434</v>
      </c>
      <c r="D3" s="250">
        <f>(S3-V3)/(Q3-V3-X3+AB3)</f>
        <v>0.25</v>
      </c>
      <c r="E3" s="292">
        <f>Y3/P3</f>
        <v>0.16013071895424835</v>
      </c>
      <c r="F3" s="250">
        <f>(T3+U3+V3)/S3</f>
        <v>0.21621621621621623</v>
      </c>
      <c r="G3" s="292">
        <f>(Y3+R3)/P3</f>
        <v>0.19934640522875818</v>
      </c>
      <c r="H3" s="292">
        <f>(Y3/Q3)+((S3+W3+Z3)/(Q3+W3+Z3+AB3))</f>
        <v>0.3743027368321109</v>
      </c>
      <c r="I3" s="250">
        <f>V3/Y3</f>
        <v>4.0816326530612242E-2</v>
      </c>
      <c r="J3" s="250">
        <f>(AA3+AB3)/Y3</f>
        <v>8.1632653061224483E-2</v>
      </c>
      <c r="K3" s="292">
        <f>X3/P3</f>
        <v>0.44771241830065361</v>
      </c>
      <c r="L3" s="250">
        <f>(W3+Z3)/P3</f>
        <v>7.5163398692810454E-2</v>
      </c>
      <c r="M3" s="293">
        <f>(1-D3*0.7635+1-E3*0.7562+1-F3*0.75+1-G3*0.7248+1-H3*0.7021+1-I3*0.6285+J3*0.5884+K3*0.5276+1-L3*0.3663)/11.068</f>
        <v>0.57369426029237347</v>
      </c>
      <c r="N3" s="288">
        <f>M3/0.4861*100</f>
        <v>118.01980256991844</v>
      </c>
      <c r="O3" s="286">
        <f>(N3-100)/100*P3*0.6611</f>
        <v>36.453447925657628</v>
      </c>
      <c r="P3" s="261">
        <v>306</v>
      </c>
      <c r="Q3" s="261">
        <f>P3-W3-Z3-AA3-AB3</f>
        <v>279</v>
      </c>
      <c r="R3" s="261">
        <v>12</v>
      </c>
      <c r="S3" s="261">
        <v>37</v>
      </c>
      <c r="T3" s="261">
        <v>6</v>
      </c>
      <c r="U3" s="261">
        <v>0</v>
      </c>
      <c r="V3" s="261">
        <v>2</v>
      </c>
      <c r="W3" s="261">
        <v>20</v>
      </c>
      <c r="X3" s="261">
        <v>137</v>
      </c>
      <c r="Y3" s="261">
        <f>S3+T3+U3*2+V3*3</f>
        <v>49</v>
      </c>
      <c r="Z3" s="261">
        <v>3</v>
      </c>
      <c r="AA3" s="261">
        <v>4</v>
      </c>
      <c r="AB3" s="261">
        <v>0</v>
      </c>
      <c r="AC3" s="9"/>
      <c r="AD3" s="6">
        <v>2020</v>
      </c>
      <c r="AE3" s="86">
        <v>0.48538866889337956</v>
      </c>
      <c r="AF3" s="9"/>
    </row>
    <row r="4" spans="1:32" x14ac:dyDescent="0.2">
      <c r="A4" s="9"/>
      <c r="B4" s="251">
        <v>1978</v>
      </c>
      <c r="C4" s="259" t="s">
        <v>56</v>
      </c>
      <c r="D4" s="250">
        <f>(S4-V4)/(Q4-V4-X4+AB4)</f>
        <v>0.22807017543859648</v>
      </c>
      <c r="E4" s="250">
        <f>Y4/P4</f>
        <v>0.21546961325966851</v>
      </c>
      <c r="F4" s="250">
        <f>(T4+U4+V4)/S4</f>
        <v>0.12643678160919541</v>
      </c>
      <c r="G4" s="250">
        <f>(Y4+R4)/P4</f>
        <v>0.29097605893186002</v>
      </c>
      <c r="H4" s="250">
        <f>(Y4/Q4)+((S4+W4+Z4)/(Q4+W4+Z4+AB4))</f>
        <v>0.5287664612782409</v>
      </c>
      <c r="I4" s="250">
        <f>V4/Y4</f>
        <v>7.6923076923076927E-2</v>
      </c>
      <c r="J4" s="291">
        <f>(AA4+AB4)/Y4</f>
        <v>0.14529914529914531</v>
      </c>
      <c r="K4" s="250">
        <f>X4/P4</f>
        <v>0.22467771639042358</v>
      </c>
      <c r="L4" s="250">
        <f>(W4+Z4)/P4</f>
        <v>0.11233885819521179</v>
      </c>
      <c r="M4" s="260">
        <f>(1-D4*0.7635+1-E4*0.7562+1-F4*0.75+1-G4*0.7248+1-H4*0.7021+1-I4*0.6285+J4*0.5884+K4*0.5276+1-L4*0.3663)/11.068</f>
        <v>0.55118308962595364</v>
      </c>
      <c r="N4" s="266">
        <f>M4/0.5012*100</f>
        <v>109.97268348482714</v>
      </c>
      <c r="O4" s="264">
        <f>(N4-100)/100*P4*0.6611</f>
        <v>35.799669911378395</v>
      </c>
      <c r="P4" s="276">
        <v>543</v>
      </c>
      <c r="Q4" s="276">
        <f>P4-W4-Z4-AA4-AB4</f>
        <v>465</v>
      </c>
      <c r="R4" s="276">
        <v>41</v>
      </c>
      <c r="S4" s="276">
        <v>87</v>
      </c>
      <c r="T4" s="276">
        <v>1</v>
      </c>
      <c r="U4" s="276">
        <v>1</v>
      </c>
      <c r="V4" s="276">
        <v>9</v>
      </c>
      <c r="W4" s="276">
        <v>59</v>
      </c>
      <c r="X4" s="277">
        <v>122</v>
      </c>
      <c r="Y4" s="276">
        <f>S4+T4+U4*2+V4*3</f>
        <v>117</v>
      </c>
      <c r="Z4" s="276">
        <v>2</v>
      </c>
      <c r="AA4" s="276">
        <v>9</v>
      </c>
      <c r="AB4" s="276">
        <v>8</v>
      </c>
      <c r="AC4" s="9"/>
      <c r="AD4" s="6">
        <v>2019</v>
      </c>
      <c r="AE4" s="86">
        <v>0.48187723667770382</v>
      </c>
      <c r="AF4" s="9"/>
    </row>
    <row r="5" spans="1:32" x14ac:dyDescent="0.2">
      <c r="A5" s="9"/>
      <c r="B5" s="251">
        <v>1979</v>
      </c>
      <c r="C5" s="259" t="s">
        <v>59</v>
      </c>
      <c r="D5" s="250">
        <f>(S5-V5)/(Q5-V5-X5+AB5)</f>
        <v>0.25396825396825395</v>
      </c>
      <c r="E5" s="250">
        <f>Y5/P5</f>
        <v>0.21836228287841192</v>
      </c>
      <c r="F5" s="250">
        <f>(T5+U5+V5)/S5</f>
        <v>0.19402985074626866</v>
      </c>
      <c r="G5" s="250">
        <f>(Y5+R5)/P5</f>
        <v>0.29032258064516131</v>
      </c>
      <c r="H5" s="250">
        <f>(Y5/Q5)+((S5+W5+Z5)/(Q5+W5+Z5+AB5))</f>
        <v>0.49313759009747626</v>
      </c>
      <c r="I5" s="250">
        <f>V5/Y5</f>
        <v>3.4090909090909088E-2</v>
      </c>
      <c r="J5" s="292">
        <f>(AA5+AB5)/Y5</f>
        <v>0.11363636363636363</v>
      </c>
      <c r="K5" s="250">
        <f>X5/P5</f>
        <v>0.27295285359801491</v>
      </c>
      <c r="L5" s="250">
        <f>(W5+Z5)/P5</f>
        <v>7.9404466501240695E-2</v>
      </c>
      <c r="M5" s="260">
        <f>(1-D5*0.7635+1-E5*0.7562+1-F5*0.75+1-G5*0.7248+1-H5*0.7021+1-I5*0.6285+J5*0.5884+K5*0.5276+1-L5*0.3663)/11.068</f>
        <v>0.55106172323299052</v>
      </c>
      <c r="N5" s="266">
        <f>M5/0.4951*100</f>
        <v>111.30311517531621</v>
      </c>
      <c r="O5" s="286">
        <f>(N5-100)/100*P5*0.6611</f>
        <v>30.114132452878227</v>
      </c>
      <c r="P5" s="261">
        <v>403</v>
      </c>
      <c r="Q5" s="261">
        <f>P5-W5-Z5-AA5-AB5</f>
        <v>361</v>
      </c>
      <c r="R5" s="261">
        <v>29</v>
      </c>
      <c r="S5" s="261">
        <v>67</v>
      </c>
      <c r="T5" s="261">
        <v>8</v>
      </c>
      <c r="U5" s="261">
        <v>2</v>
      </c>
      <c r="V5" s="261">
        <v>3</v>
      </c>
      <c r="W5" s="261">
        <v>32</v>
      </c>
      <c r="X5" s="261">
        <v>110</v>
      </c>
      <c r="Y5" s="261">
        <f>S5+T5+U5*2+V5*3</f>
        <v>88</v>
      </c>
      <c r="Z5" s="261">
        <v>0</v>
      </c>
      <c r="AA5" s="261">
        <v>6</v>
      </c>
      <c r="AB5" s="261">
        <v>4</v>
      </c>
      <c r="AC5" s="9"/>
      <c r="AD5" s="6">
        <v>2018</v>
      </c>
      <c r="AE5" s="86">
        <v>0.48978650630355836</v>
      </c>
      <c r="AF5" s="9"/>
    </row>
    <row r="6" spans="1:32" x14ac:dyDescent="0.2">
      <c r="A6" s="9"/>
      <c r="B6" s="251">
        <v>1999</v>
      </c>
      <c r="C6" s="259" t="s">
        <v>494</v>
      </c>
      <c r="D6" s="250">
        <f>(S6-V6)/(Q6-V6-X6+AB6)</f>
        <v>0.22900763358778625</v>
      </c>
      <c r="E6" s="250">
        <f>Y6/P6</f>
        <v>0.19230769230769232</v>
      </c>
      <c r="F6" s="250">
        <f>(T6+U6+V6)/S6</f>
        <v>0.2857142857142857</v>
      </c>
      <c r="G6" s="250">
        <f>(Y6+R6)/P6</f>
        <v>0.24125874125874125</v>
      </c>
      <c r="H6" s="250">
        <f>(Y6/Q6)+((S6+W6+Z6)/(Q6+W6+Z6+AB6))</f>
        <v>0.42010169122845176</v>
      </c>
      <c r="I6" s="250">
        <f>V6/Y6</f>
        <v>9.0909090909090912E-2</v>
      </c>
      <c r="J6" s="250">
        <f>(AA6+AB6)/Y6</f>
        <v>5.4545454545454543E-2</v>
      </c>
      <c r="K6" s="250">
        <f>X6/P6</f>
        <v>0.43356643356643354</v>
      </c>
      <c r="L6" s="250">
        <f>(W6+Z6)/P6</f>
        <v>8.3916083916083919E-2</v>
      </c>
      <c r="M6" s="260">
        <f>(1-D6*0.7635+1-E6*0.7562+1-F6*0.75+1-G6*0.7248+1-H6*0.7021+1-I6*0.6285+J6*0.5884+K6*0.5276+1-L6*0.3663)/11.068</f>
        <v>0.55733606054395313</v>
      </c>
      <c r="N6" s="266">
        <f>M6/0.4826*100</f>
        <v>115.48612941234006</v>
      </c>
      <c r="O6" s="264">
        <f>(N6-100)/100*P6*0.6611</f>
        <v>29.280337241864327</v>
      </c>
      <c r="P6" s="276">
        <v>286</v>
      </c>
      <c r="Q6" s="276">
        <f>P6-W6-Z6-AA6-AB6</f>
        <v>259</v>
      </c>
      <c r="R6" s="276">
        <v>14</v>
      </c>
      <c r="S6" s="276">
        <v>35</v>
      </c>
      <c r="T6" s="276">
        <v>5</v>
      </c>
      <c r="U6" s="276">
        <v>0</v>
      </c>
      <c r="V6" s="276">
        <v>5</v>
      </c>
      <c r="W6" s="276">
        <v>23</v>
      </c>
      <c r="X6" s="277">
        <v>124</v>
      </c>
      <c r="Y6" s="276">
        <f>S6+T6+U6*2+V6*3</f>
        <v>55</v>
      </c>
      <c r="Z6" s="276">
        <v>1</v>
      </c>
      <c r="AA6" s="276">
        <v>2</v>
      </c>
      <c r="AB6" s="276">
        <v>1</v>
      </c>
      <c r="AC6" s="9"/>
      <c r="AD6" s="6">
        <v>2017</v>
      </c>
      <c r="AE6" s="86">
        <v>0.48492651148451477</v>
      </c>
      <c r="AF6" s="9"/>
    </row>
    <row r="7" spans="1:32" x14ac:dyDescent="0.2">
      <c r="A7" s="9"/>
      <c r="B7" s="251">
        <v>2005</v>
      </c>
      <c r="C7" s="259" t="s">
        <v>23</v>
      </c>
      <c r="D7" s="250">
        <f>(S7-V7)/(Q7-V7-X7+AB7)</f>
        <v>0.23762376237623761</v>
      </c>
      <c r="E7" s="250">
        <f>Y7/P7</f>
        <v>0.19934640522875818</v>
      </c>
      <c r="F7" s="250">
        <f>(T7+U7+V7)/S7</f>
        <v>0.14000000000000001</v>
      </c>
      <c r="G7" s="250">
        <f>(Y7+R7)/P7</f>
        <v>0.2581699346405229</v>
      </c>
      <c r="H7" s="250">
        <f>(Y7/Q7)+((S7+W7+Z7)/(Q7+W7+Z7+AB7))</f>
        <v>0.45084182082727087</v>
      </c>
      <c r="I7" s="250">
        <f>V7/Y7</f>
        <v>3.2786885245901641E-2</v>
      </c>
      <c r="J7" s="250">
        <f>(AA7+AB7)/Y7</f>
        <v>1.6393442622950821E-2</v>
      </c>
      <c r="K7" s="250">
        <f>X7/P7</f>
        <v>0.26143790849673204</v>
      </c>
      <c r="L7" s="250">
        <f>(W7+Z7)/P7</f>
        <v>7.1895424836601302E-2</v>
      </c>
      <c r="M7" s="260">
        <f>(1-D7*0.7635+1-E7*0.7562+1-F7*0.75+1-G7*0.7248+1-H7*0.7021+1-I7*0.6285+J7*0.5884+K7*0.5276+1-L7*0.3663)/11.068</f>
        <v>0.55654224660543927</v>
      </c>
      <c r="N7" s="266">
        <f>M7/0.4873*100</f>
        <v>114.20936724921799</v>
      </c>
      <c r="O7" s="264">
        <f>(N7-100)/100*P7*0.6611</f>
        <v>28.745066826681523</v>
      </c>
      <c r="P7" s="276">
        <v>306</v>
      </c>
      <c r="Q7" s="276">
        <f>P7-W7-Z7-AA7-AB7</f>
        <v>283</v>
      </c>
      <c r="R7" s="276">
        <v>18</v>
      </c>
      <c r="S7" s="276">
        <v>50</v>
      </c>
      <c r="T7" s="276">
        <v>5</v>
      </c>
      <c r="U7" s="276">
        <v>0</v>
      </c>
      <c r="V7" s="276">
        <v>2</v>
      </c>
      <c r="W7" s="276">
        <v>18</v>
      </c>
      <c r="X7" s="277">
        <v>80</v>
      </c>
      <c r="Y7" s="276">
        <f>S7+T7+U7*2+V7*3</f>
        <v>61</v>
      </c>
      <c r="Z7" s="276">
        <v>4</v>
      </c>
      <c r="AA7" s="276">
        <v>0</v>
      </c>
      <c r="AB7" s="276">
        <v>1</v>
      </c>
      <c r="AC7" s="9"/>
      <c r="AD7" s="6">
        <v>2016</v>
      </c>
      <c r="AE7" s="86">
        <v>0.48797459203146881</v>
      </c>
      <c r="AF7" s="9"/>
    </row>
    <row r="8" spans="1:32" x14ac:dyDescent="0.2">
      <c r="A8" s="9"/>
      <c r="B8" s="251">
        <v>1982</v>
      </c>
      <c r="C8" s="259" t="s">
        <v>510</v>
      </c>
      <c r="D8" s="250">
        <f>(S8-V8)/(Q8-V8-X8+AB8)</f>
        <v>0.27173913043478259</v>
      </c>
      <c r="E8" s="250">
        <f>Y8/P8</f>
        <v>0.27221172022684309</v>
      </c>
      <c r="F8" s="291">
        <f>(T8+U8+V8)/S8</f>
        <v>0.1111111111111111</v>
      </c>
      <c r="G8" s="250">
        <f>(Y8+R8)/P8</f>
        <v>0.35349716446124763</v>
      </c>
      <c r="H8" s="250">
        <f>(Y8/Q8)+((S8+W8+Z8)/(Q8+W8+Z8+AB8))</f>
        <v>0.55389595375722545</v>
      </c>
      <c r="I8" s="291">
        <f>V8/Y8</f>
        <v>6.9444444444444441E-3</v>
      </c>
      <c r="J8" s="250">
        <f>(AA8+AB8)/Y8</f>
        <v>0.11805555555555555</v>
      </c>
      <c r="K8" s="250">
        <f>X8/P8</f>
        <v>8.6956521739130432E-2</v>
      </c>
      <c r="L8" s="250">
        <f>(W8+Z8)/P8</f>
        <v>2.2684310018903593E-2</v>
      </c>
      <c r="M8" s="260">
        <f>(1-D8*0.7635+1-E8*0.7562+1-F8*0.75+1-G8*0.7248+1-H8*0.7021+1-I8*0.6285+J8*0.5884+K8*0.5276+1-L8*0.3663)/11.068</f>
        <v>0.53857160710832186</v>
      </c>
      <c r="N8" s="266">
        <f>M8/0.4978*100</f>
        <v>108.19035900126997</v>
      </c>
      <c r="O8" s="264">
        <f>(N8-100)/100*P8*0.6611</f>
        <v>28.643479116062359</v>
      </c>
      <c r="P8" s="276">
        <v>529</v>
      </c>
      <c r="Q8" s="276">
        <f>P8-W8-Z8-AA8-AB8</f>
        <v>500</v>
      </c>
      <c r="R8" s="276">
        <v>43</v>
      </c>
      <c r="S8" s="276">
        <v>126</v>
      </c>
      <c r="T8" s="276">
        <v>11</v>
      </c>
      <c r="U8" s="276">
        <v>2</v>
      </c>
      <c r="V8" s="276">
        <v>1</v>
      </c>
      <c r="W8" s="276">
        <v>12</v>
      </c>
      <c r="X8" s="277">
        <v>46</v>
      </c>
      <c r="Y8" s="276">
        <f>S8+T8+U8*2+V8*3</f>
        <v>144</v>
      </c>
      <c r="Z8" s="276">
        <v>0</v>
      </c>
      <c r="AA8" s="276">
        <v>10</v>
      </c>
      <c r="AB8" s="276">
        <v>7</v>
      </c>
      <c r="AC8" s="9"/>
      <c r="AD8" s="6">
        <v>2015</v>
      </c>
      <c r="AE8" s="86">
        <v>0.49225287184729749</v>
      </c>
      <c r="AF8" s="9"/>
    </row>
    <row r="9" spans="1:32" x14ac:dyDescent="0.2">
      <c r="A9" s="9"/>
      <c r="B9" s="251">
        <v>2012</v>
      </c>
      <c r="C9" s="259" t="s">
        <v>305</v>
      </c>
      <c r="D9" s="250">
        <f>(S9-V9)/(Q9-V9-X9+AB9)</f>
        <v>0.25</v>
      </c>
      <c r="E9" s="250">
        <f>Y9/P9</f>
        <v>0.16017316017316016</v>
      </c>
      <c r="F9" s="250">
        <f>(T9+U9+V9)/S9</f>
        <v>0.14814814814814814</v>
      </c>
      <c r="G9" s="250">
        <f>(Y9+R9)/P9</f>
        <v>0.19047619047619047</v>
      </c>
      <c r="H9" s="250">
        <f>(Y9/Q9)+((S9+W9+Z9)/(Q9+W9+Z9+AB9))</f>
        <v>0.35824020940300011</v>
      </c>
      <c r="I9" s="250">
        <f>V9/Y9</f>
        <v>8.1081081081081086E-2</v>
      </c>
      <c r="J9" s="250">
        <f>(AA9+AB9)/Y9</f>
        <v>0</v>
      </c>
      <c r="K9" s="250">
        <f>X9/P9</f>
        <v>0.50216450216450215</v>
      </c>
      <c r="L9" s="250">
        <f>(W9+Z9)/P9</f>
        <v>6.9264069264069264E-2</v>
      </c>
      <c r="M9" s="289">
        <f>(1-D9*0.7635+1-E9*0.7562+1-F9*0.75+1-G9*0.7248+1-H9*0.7021+1-I9*0.6285+J9*0.5884+K9*0.5276+1-L9*0.3663)/11.068</f>
        <v>0.57606834609668034</v>
      </c>
      <c r="N9" s="266">
        <f>M9/0.492*100</f>
        <v>117.08706221477243</v>
      </c>
      <c r="O9" s="264">
        <f>(N9-100)/100*P9*0.6611</f>
        <v>26.094353277729784</v>
      </c>
      <c r="P9" s="276">
        <v>231</v>
      </c>
      <c r="Q9" s="276">
        <f>P9-W9-Z9-AA9-AB9</f>
        <v>215</v>
      </c>
      <c r="R9" s="276">
        <v>7</v>
      </c>
      <c r="S9" s="276">
        <v>27</v>
      </c>
      <c r="T9" s="276">
        <v>1</v>
      </c>
      <c r="U9" s="276">
        <v>0</v>
      </c>
      <c r="V9" s="276">
        <v>3</v>
      </c>
      <c r="W9" s="276">
        <v>14</v>
      </c>
      <c r="X9" s="277">
        <v>116</v>
      </c>
      <c r="Y9" s="276">
        <f>S9+T9+U9*2+V9*3</f>
        <v>37</v>
      </c>
      <c r="Z9" s="276">
        <v>2</v>
      </c>
      <c r="AA9" s="276">
        <v>0</v>
      </c>
      <c r="AB9" s="276">
        <v>0</v>
      </c>
      <c r="AC9" s="9"/>
      <c r="AD9" s="6">
        <v>2014</v>
      </c>
      <c r="AE9" s="86">
        <v>0.49810635608904663</v>
      </c>
      <c r="AF9" s="9"/>
    </row>
    <row r="10" spans="1:32" x14ac:dyDescent="0.2">
      <c r="A10" s="9"/>
      <c r="B10" s="251">
        <v>2004</v>
      </c>
      <c r="C10" s="259" t="s">
        <v>434</v>
      </c>
      <c r="D10" s="250">
        <f>(S10-V10)/(Q10-V10-X10+AB10)</f>
        <v>0.27272727272727271</v>
      </c>
      <c r="E10" s="250">
        <f>Y10/P10</f>
        <v>0.2361963190184049</v>
      </c>
      <c r="F10" s="250">
        <f>(T10+U10+V10)/S10</f>
        <v>0.26415094339622641</v>
      </c>
      <c r="G10" s="250">
        <f>(Y10+R10)/P10</f>
        <v>0.30981595092024539</v>
      </c>
      <c r="H10" s="250">
        <f>(Y10/Q10)+((S10+W10+Z10)/(Q10+W10+Z10+AB10))</f>
        <v>0.51124583978123084</v>
      </c>
      <c r="I10" s="250">
        <f>V10/Y10</f>
        <v>6.4935064935064929E-2</v>
      </c>
      <c r="J10" s="250">
        <f>(AA10+AB10)/Y10</f>
        <v>7.792207792207792E-2</v>
      </c>
      <c r="K10" s="250">
        <f>X10/P10</f>
        <v>0.34969325153374231</v>
      </c>
      <c r="L10" s="250">
        <f>(W10+Z10)/P10</f>
        <v>8.2822085889570546E-2</v>
      </c>
      <c r="M10" s="260">
        <f>(1-D10*0.7635+1-E10*0.7562+1-F10*0.75+1-G10*0.7248+1-H10*0.7021+1-I10*0.6285+J10*0.5884+K10*0.5276+1-L10*0.3663)/11.068</f>
        <v>0.54126722531007943</v>
      </c>
      <c r="N10" s="266">
        <f>M10/0.4846*100</f>
        <v>111.69360819440352</v>
      </c>
      <c r="O10" s="264">
        <f>(N10-100)/100*P10*0.6611</f>
        <v>25.201900670063754</v>
      </c>
      <c r="P10" s="276">
        <v>326</v>
      </c>
      <c r="Q10" s="276">
        <f>P10-W10-Z10-AA10-AB10</f>
        <v>293</v>
      </c>
      <c r="R10" s="276">
        <v>24</v>
      </c>
      <c r="S10" s="276">
        <v>53</v>
      </c>
      <c r="T10" s="276">
        <v>9</v>
      </c>
      <c r="U10" s="276">
        <v>0</v>
      </c>
      <c r="V10" s="276">
        <v>5</v>
      </c>
      <c r="W10" s="276">
        <v>22</v>
      </c>
      <c r="X10" s="277">
        <v>114</v>
      </c>
      <c r="Y10" s="276">
        <f>S10+T10+U10*2+V10*3</f>
        <v>77</v>
      </c>
      <c r="Z10" s="276">
        <v>5</v>
      </c>
      <c r="AA10" s="276">
        <v>4</v>
      </c>
      <c r="AB10" s="276">
        <v>2</v>
      </c>
      <c r="AC10" s="9"/>
      <c r="AD10" s="6">
        <v>2013</v>
      </c>
      <c r="AE10" s="86">
        <v>0.49483637420466781</v>
      </c>
      <c r="AF10" s="9"/>
    </row>
    <row r="11" spans="1:32" x14ac:dyDescent="0.2">
      <c r="A11" s="9"/>
      <c r="B11" s="251">
        <v>1998</v>
      </c>
      <c r="C11" s="259" t="s">
        <v>495</v>
      </c>
      <c r="D11" s="250">
        <f>(S11-V11)/(Q11-V11-X11+AB11)</f>
        <v>0.25238095238095237</v>
      </c>
      <c r="E11" s="250">
        <f>Y11/P11</f>
        <v>0.22397476340694006</v>
      </c>
      <c r="F11" s="250">
        <f>(T11+U11+V11)/S11</f>
        <v>0.2</v>
      </c>
      <c r="G11" s="250">
        <f>(Y11+R11)/P11</f>
        <v>0.29968454258675081</v>
      </c>
      <c r="H11" s="250">
        <f>(Y11/Q11)+((S11+W11+Z11)/(Q11+W11+Z11+AB11))</f>
        <v>0.50049603174603174</v>
      </c>
      <c r="I11" s="250">
        <f>V11/Y11</f>
        <v>2.8169014084507043E-2</v>
      </c>
      <c r="J11" s="250">
        <f>(AA11+AB11)/Y11</f>
        <v>5.6338028169014086E-2</v>
      </c>
      <c r="K11" s="250">
        <f>X11/P11</f>
        <v>0.24605678233438485</v>
      </c>
      <c r="L11" s="250">
        <f>(W11+Z11)/P11</f>
        <v>7.8864353312302835E-2</v>
      </c>
      <c r="M11" s="260">
        <f>(1-D11*0.7635+1-E11*0.7562+1-F11*0.75+1-G11*0.7248+1-H11*0.7021+1-I11*0.6285+J11*0.5884+K11*0.5276+1-L11*0.3663)/11.068</f>
        <v>0.5453292756213326</v>
      </c>
      <c r="N11" s="266">
        <f>M11/0.487*100</f>
        <v>111.97726398795331</v>
      </c>
      <c r="O11" s="264">
        <f>(N11-100)/100*P11*0.6611</f>
        <v>25.100596435121901</v>
      </c>
      <c r="P11" s="276">
        <v>317</v>
      </c>
      <c r="Q11" s="276">
        <f>P11-W11-Z11-AA11-AB11</f>
        <v>288</v>
      </c>
      <c r="R11" s="276">
        <v>24</v>
      </c>
      <c r="S11" s="276">
        <v>55</v>
      </c>
      <c r="T11" s="276">
        <v>8</v>
      </c>
      <c r="U11" s="276">
        <v>1</v>
      </c>
      <c r="V11" s="276">
        <v>2</v>
      </c>
      <c r="W11" s="276">
        <v>25</v>
      </c>
      <c r="X11" s="277">
        <v>78</v>
      </c>
      <c r="Y11" s="276">
        <f>S11+T11+U11*2+V11*3</f>
        <v>71</v>
      </c>
      <c r="Z11" s="276">
        <v>0</v>
      </c>
      <c r="AA11" s="276">
        <v>2</v>
      </c>
      <c r="AB11" s="276">
        <v>2</v>
      </c>
      <c r="AC11" s="9"/>
      <c r="AD11" s="6">
        <v>2012</v>
      </c>
      <c r="AE11" s="86">
        <v>0.49199292434674569</v>
      </c>
      <c r="AF11" s="9"/>
    </row>
    <row r="12" spans="1:32" x14ac:dyDescent="0.2">
      <c r="A12" s="9"/>
      <c r="B12" s="251">
        <v>1998</v>
      </c>
      <c r="C12" s="259" t="s">
        <v>32</v>
      </c>
      <c r="D12" s="250">
        <f>(S12-V12)/(Q12-V12-X12+AB12)</f>
        <v>0.24223602484472051</v>
      </c>
      <c r="E12" s="250">
        <f>Y12/P12</f>
        <v>0.20802919708029197</v>
      </c>
      <c r="F12" s="250">
        <f>(T12+U12+V12)/S12</f>
        <v>0.24390243902439024</v>
      </c>
      <c r="G12" s="250">
        <f>(Y12+R12)/P12</f>
        <v>0.2518248175182482</v>
      </c>
      <c r="H12" s="250">
        <f>(Y12/Q12)+((S12+W12+Z12)/(Q12+W12+Z12+AB12))</f>
        <v>0.46138798737384962</v>
      </c>
      <c r="I12" s="250">
        <f>V12/Y12</f>
        <v>3.5087719298245612E-2</v>
      </c>
      <c r="J12" s="250">
        <f>(AA12+AB12)/Y12</f>
        <v>5.2631578947368418E-2</v>
      </c>
      <c r="K12" s="250">
        <f>X12/P12</f>
        <v>0.31386861313868614</v>
      </c>
      <c r="L12" s="250">
        <f>(W12+Z12)/P12</f>
        <v>8.0291970802919707E-2</v>
      </c>
      <c r="M12" s="260">
        <f>(1-D12*0.7635+1-E12*0.7562+1-F12*0.75+1-G12*0.7248+1-H12*0.7021+1-I12*0.6285+J12*0.5884+K12*0.5276+1-L12*0.3663)/11.068</f>
        <v>0.55235390984087318</v>
      </c>
      <c r="N12" s="266">
        <f>M12/0.487*100</f>
        <v>113.41969401249963</v>
      </c>
      <c r="O12" s="264">
        <f>(N12-100)/100*P12*0.6611</f>
        <v>24.308621609958013</v>
      </c>
      <c r="P12" s="276">
        <v>274</v>
      </c>
      <c r="Q12" s="276">
        <f>P12-W12-Z12-AA12-AB12</f>
        <v>249</v>
      </c>
      <c r="R12" s="276">
        <v>12</v>
      </c>
      <c r="S12" s="276">
        <v>41</v>
      </c>
      <c r="T12" s="276">
        <v>6</v>
      </c>
      <c r="U12" s="276">
        <v>2</v>
      </c>
      <c r="V12" s="276">
        <v>2</v>
      </c>
      <c r="W12" s="276">
        <v>21</v>
      </c>
      <c r="X12" s="277">
        <v>86</v>
      </c>
      <c r="Y12" s="276">
        <f>S12+T12+U12*2+V12*3</f>
        <v>57</v>
      </c>
      <c r="Z12" s="276">
        <v>1</v>
      </c>
      <c r="AA12" s="276">
        <v>3</v>
      </c>
      <c r="AB12" s="276">
        <v>0</v>
      </c>
      <c r="AC12" s="9"/>
      <c r="AD12" s="6">
        <v>2011</v>
      </c>
      <c r="AE12" s="86">
        <v>0.49387867646542005</v>
      </c>
      <c r="AF12" s="9"/>
    </row>
    <row r="13" spans="1:32" x14ac:dyDescent="0.2">
      <c r="A13" s="9"/>
      <c r="B13" s="251">
        <v>2001</v>
      </c>
      <c r="C13" s="259" t="s">
        <v>23</v>
      </c>
      <c r="D13" s="250">
        <f>(S13-V13)/(Q13-V13-X13+AB13)</f>
        <v>0.27317073170731709</v>
      </c>
      <c r="E13" s="250">
        <f>Y13/P13</f>
        <v>0.25806451612903225</v>
      </c>
      <c r="F13" s="250">
        <f>(T13+U13+V13)/S13</f>
        <v>0.14754098360655737</v>
      </c>
      <c r="G13" s="250">
        <f>(Y13+R13)/P13</f>
        <v>0.33548387096774196</v>
      </c>
      <c r="H13" s="250">
        <f>(Y13/Q13)+((S13+W13+Z13)/(Q13+W13+Z13+AB13))</f>
        <v>0.51580266809920317</v>
      </c>
      <c r="I13" s="250">
        <f>V13/Y13</f>
        <v>6.25E-2</v>
      </c>
      <c r="J13" s="250">
        <f>(AA13+AB13)/Y13</f>
        <v>6.25E-2</v>
      </c>
      <c r="K13" s="250">
        <f>X13/P13</f>
        <v>0.26774193548387099</v>
      </c>
      <c r="L13" s="250">
        <f>(W13+Z13)/P13</f>
        <v>4.1935483870967745E-2</v>
      </c>
      <c r="M13" s="260">
        <f>(1-D13*0.7635+1-E13*0.7562+1-F13*0.75+1-G13*0.7248+1-H13*0.7021+1-I13*0.6285+J13*0.5884+K13*0.5276+1-L13*0.3663)/11.068</f>
        <v>0.54243943675544426</v>
      </c>
      <c r="N13" s="266">
        <f>M13/0.485*100</f>
        <v>111.84318283617407</v>
      </c>
      <c r="O13" s="264">
        <f>(N13-100)/100*P13*0.6611</f>
        <v>24.271537336283494</v>
      </c>
      <c r="P13" s="276">
        <v>310</v>
      </c>
      <c r="Q13" s="276">
        <f>P13-W13-Z13-AA13-AB13</f>
        <v>292</v>
      </c>
      <c r="R13" s="276">
        <v>24</v>
      </c>
      <c r="S13" s="276">
        <v>61</v>
      </c>
      <c r="T13" s="276">
        <v>4</v>
      </c>
      <c r="U13" s="276">
        <v>0</v>
      </c>
      <c r="V13" s="276">
        <v>5</v>
      </c>
      <c r="W13" s="276">
        <v>12</v>
      </c>
      <c r="X13" s="277">
        <v>83</v>
      </c>
      <c r="Y13" s="276">
        <f>S13+T13+U13*2+V13*3</f>
        <v>80</v>
      </c>
      <c r="Z13" s="276">
        <v>1</v>
      </c>
      <c r="AA13" s="276">
        <v>4</v>
      </c>
      <c r="AB13" s="276">
        <v>1</v>
      </c>
      <c r="AC13" s="9"/>
      <c r="AD13" s="6">
        <v>2010</v>
      </c>
      <c r="AE13" s="86">
        <v>0.49239055418686745</v>
      </c>
      <c r="AF13" s="9"/>
    </row>
    <row r="14" spans="1:32" x14ac:dyDescent="0.2">
      <c r="A14" s="9"/>
      <c r="B14" s="251">
        <v>2016</v>
      </c>
      <c r="C14" s="259" t="s">
        <v>475</v>
      </c>
      <c r="D14" s="250">
        <f>(S14-V14)/(Q14-V14-X14+AB14)</f>
        <v>0.23125000000000001</v>
      </c>
      <c r="E14" s="250">
        <f>Y14/P14</f>
        <v>0.19291338582677164</v>
      </c>
      <c r="F14" s="250">
        <f>(T14+U14+V14)/S14</f>
        <v>0.23684210526315788</v>
      </c>
      <c r="G14" s="250">
        <f>(Y14+R14)/P14</f>
        <v>0.22047244094488189</v>
      </c>
      <c r="H14" s="250">
        <f>(Y14/Q14)+((S14+W14+Z14)/(Q14+W14+Z14+AB14))</f>
        <v>0.42985451181565892</v>
      </c>
      <c r="I14" s="250">
        <f>V14/Y14</f>
        <v>2.0408163265306121E-2</v>
      </c>
      <c r="J14" s="250">
        <f>(AA14+AB14)/Y14</f>
        <v>2.0408163265306121E-2</v>
      </c>
      <c r="K14" s="250">
        <f>X14/P14</f>
        <v>0.29133858267716534</v>
      </c>
      <c r="L14" s="250">
        <f>(W14+Z14)/P14</f>
        <v>7.0866141732283464E-2</v>
      </c>
      <c r="M14" s="260">
        <f>(1-D14*0.7635+1-E14*0.7562+1-F14*0.75+1-G14*0.7248+1-H14*0.7021+1-I14*0.6285+J14*0.5884+K14*0.5276+1-L14*0.3663)/11.068</f>
        <v>0.55703489943122519</v>
      </c>
      <c r="N14" s="266">
        <f>M14/0.488*100</f>
        <v>114.14649578508713</v>
      </c>
      <c r="O14" s="264">
        <f>(N14-100)/100*P14*0.6611</f>
        <v>23.754710843343592</v>
      </c>
      <c r="P14" s="276">
        <v>254</v>
      </c>
      <c r="Q14" s="276">
        <f>P14-W14-Z14-AA14-AB14</f>
        <v>235</v>
      </c>
      <c r="R14" s="276">
        <v>7</v>
      </c>
      <c r="S14" s="276">
        <v>38</v>
      </c>
      <c r="T14" s="276">
        <v>8</v>
      </c>
      <c r="U14" s="276">
        <v>0</v>
      </c>
      <c r="V14" s="276">
        <v>1</v>
      </c>
      <c r="W14" s="276">
        <v>18</v>
      </c>
      <c r="X14" s="277">
        <v>74</v>
      </c>
      <c r="Y14" s="276">
        <f>S14+T14+U14*2+V14*3</f>
        <v>49</v>
      </c>
      <c r="Z14" s="276">
        <v>0</v>
      </c>
      <c r="AA14" s="276">
        <v>1</v>
      </c>
      <c r="AB14" s="276">
        <v>0</v>
      </c>
      <c r="AC14" s="9"/>
      <c r="AD14" s="6">
        <v>2009</v>
      </c>
      <c r="AE14" s="86">
        <v>0.487731634571687</v>
      </c>
      <c r="AF14" s="9"/>
    </row>
    <row r="15" spans="1:32" x14ac:dyDescent="0.2">
      <c r="A15" s="9"/>
      <c r="B15" s="251">
        <v>1999</v>
      </c>
      <c r="C15" s="259" t="s">
        <v>23</v>
      </c>
      <c r="D15" s="250">
        <f>(S15-V15)/(Q15-V15-X15+AB15)</f>
        <v>0.21243523316062177</v>
      </c>
      <c r="E15" s="250">
        <f>Y15/P15</f>
        <v>0.21641791044776118</v>
      </c>
      <c r="F15" s="250">
        <f>(T15+U15+V15)/S15</f>
        <v>0.23255813953488372</v>
      </c>
      <c r="G15" s="250">
        <f>(Y15+R15)/P15</f>
        <v>0.27238805970149255</v>
      </c>
      <c r="H15" s="250">
        <f>(Y15/Q15)+((S15+W15+Z15)/(Q15+W15+Z15+AB15))</f>
        <v>0.47554066402680473</v>
      </c>
      <c r="I15" s="250">
        <f>V15/Y15</f>
        <v>3.4482758620689655E-2</v>
      </c>
      <c r="J15" s="250">
        <f>(AA15+AB15)/Y15</f>
        <v>3.4482758620689655E-2</v>
      </c>
      <c r="K15" s="250">
        <f>X15/P15</f>
        <v>0.19402985074626866</v>
      </c>
      <c r="L15" s="250">
        <f>(W15+Z15)/P15</f>
        <v>7.8358208955223885E-2</v>
      </c>
      <c r="M15" s="260">
        <f>(1-D15*0.7635+1-E15*0.7562+1-F15*0.75+1-G15*0.7248+1-H15*0.7021+1-I15*0.6285+J15*0.5884+K15*0.5276+1-L15*0.3663)/11.068</f>
        <v>0.54578177482453816</v>
      </c>
      <c r="N15" s="266">
        <f>M15/0.4826*100</f>
        <v>113.09195499886826</v>
      </c>
      <c r="O15" s="264">
        <f>(N15-100)/100*P15*0.6611</f>
        <v>23.195645085334842</v>
      </c>
      <c r="P15" s="276">
        <v>268</v>
      </c>
      <c r="Q15" s="276">
        <f>P15-W15-Z15-AA15-AB15</f>
        <v>245</v>
      </c>
      <c r="R15" s="276">
        <v>15</v>
      </c>
      <c r="S15" s="276">
        <v>43</v>
      </c>
      <c r="T15" s="276">
        <v>7</v>
      </c>
      <c r="U15" s="276">
        <v>1</v>
      </c>
      <c r="V15" s="276">
        <v>2</v>
      </c>
      <c r="W15" s="276">
        <v>18</v>
      </c>
      <c r="X15" s="277">
        <v>52</v>
      </c>
      <c r="Y15" s="276">
        <f>S15+T15+U15*2+V15*3</f>
        <v>58</v>
      </c>
      <c r="Z15" s="276">
        <v>3</v>
      </c>
      <c r="AA15" s="276">
        <v>0</v>
      </c>
      <c r="AB15" s="276">
        <v>2</v>
      </c>
      <c r="AC15" s="9"/>
      <c r="AD15" s="6">
        <v>2008</v>
      </c>
      <c r="AE15" s="86">
        <v>0.48784953342865089</v>
      </c>
      <c r="AF15" s="9"/>
    </row>
    <row r="16" spans="1:32" x14ac:dyDescent="0.2">
      <c r="A16" s="9"/>
      <c r="B16" s="251">
        <v>1988</v>
      </c>
      <c r="C16" s="259" t="s">
        <v>506</v>
      </c>
      <c r="D16" s="250">
        <f>(S16-V16)/(Q16-V16-X16+AB16)</f>
        <v>0.22352941176470589</v>
      </c>
      <c r="E16" s="250">
        <f>Y16/P16</f>
        <v>0.21726190476190477</v>
      </c>
      <c r="F16" s="250">
        <f>(T16+U16+V16)/S16</f>
        <v>0.11666666666666667</v>
      </c>
      <c r="G16" s="250">
        <f>(Y16+R16)/P16</f>
        <v>0.27083333333333331</v>
      </c>
      <c r="H16" s="250">
        <f>(Y16/Q16)+((S16+W16+Z16)/(Q16+W16+Z16+AB16))</f>
        <v>0.50376397156331942</v>
      </c>
      <c r="I16" s="250">
        <f>V16/Y16</f>
        <v>4.1095890410958902E-2</v>
      </c>
      <c r="J16" s="250">
        <f>(AA16+AB16)/Y16</f>
        <v>8.2191780821917804E-2</v>
      </c>
      <c r="K16" s="250">
        <f>X16/P16</f>
        <v>0.13690476190476192</v>
      </c>
      <c r="L16" s="250">
        <f>(W16+Z16)/P16</f>
        <v>8.0357142857142863E-2</v>
      </c>
      <c r="M16" s="260">
        <f>(1-D16*0.7635+1-E16*0.7562+1-F16*0.75+1-G16*0.7248+1-H16*0.7021+1-I16*0.6285+J16*0.5884+K16*0.5276+1-L16*0.3663)/11.068</f>
        <v>0.55049495527347292</v>
      </c>
      <c r="N16" s="266">
        <f>M16/0.5012*100</f>
        <v>109.83538612798742</v>
      </c>
      <c r="O16" s="264">
        <f>(N16-100)/100*P16*0.6611</f>
        <v>21.847303864553943</v>
      </c>
      <c r="P16" s="276">
        <v>336</v>
      </c>
      <c r="Q16" s="276">
        <f>P16-W16-Z16-AA16-AB16</f>
        <v>303</v>
      </c>
      <c r="R16" s="276">
        <v>18</v>
      </c>
      <c r="S16" s="276">
        <v>60</v>
      </c>
      <c r="T16" s="276">
        <v>4</v>
      </c>
      <c r="U16" s="276">
        <v>0</v>
      </c>
      <c r="V16" s="276">
        <v>3</v>
      </c>
      <c r="W16" s="276">
        <v>27</v>
      </c>
      <c r="X16" s="277">
        <v>46</v>
      </c>
      <c r="Y16" s="276">
        <f>S16+T16+U16*2+V16*3</f>
        <v>73</v>
      </c>
      <c r="Z16" s="276">
        <v>0</v>
      </c>
      <c r="AA16" s="276">
        <v>5</v>
      </c>
      <c r="AB16" s="276">
        <v>1</v>
      </c>
      <c r="AC16" s="9"/>
      <c r="AD16" s="6">
        <v>2007</v>
      </c>
      <c r="AE16" s="86">
        <v>0.48593274358545985</v>
      </c>
      <c r="AF16" s="9"/>
    </row>
    <row r="17" spans="1:32" x14ac:dyDescent="0.2">
      <c r="A17" s="9"/>
      <c r="B17" s="251">
        <v>2014</v>
      </c>
      <c r="C17" s="259" t="s">
        <v>305</v>
      </c>
      <c r="D17" s="250">
        <f>(S17-V17)/(Q17-V17-X17+AB17)</f>
        <v>0.2413793103448276</v>
      </c>
      <c r="E17" s="250">
        <f>Y17/P17</f>
        <v>0.16393442622950818</v>
      </c>
      <c r="F17" s="250">
        <f>(T17+U17+V17)/S17</f>
        <v>0.2</v>
      </c>
      <c r="G17" s="250">
        <f>(Y17+R17)/P17</f>
        <v>0.21721311475409835</v>
      </c>
      <c r="H17" s="250">
        <f>(Y17/Q17)+((S17+W17+Z17)/(Q17+W17+Z17+AB17))</f>
        <v>0.42845732764498468</v>
      </c>
      <c r="I17" s="250">
        <f>V17/Y17</f>
        <v>0.05</v>
      </c>
      <c r="J17" s="250">
        <f>(AA17+AB17)/Y17</f>
        <v>7.4999999999999997E-2</v>
      </c>
      <c r="K17" s="250">
        <f>X17/P17</f>
        <v>0.38934426229508196</v>
      </c>
      <c r="L17" s="250">
        <f>(W17+Z17)/P17</f>
        <v>0.11475409836065574</v>
      </c>
      <c r="M17" s="260">
        <f>(1-D17*0.7635+1-E17*0.7562+1-F17*0.75+1-G17*0.7248+1-H17*0.7021+1-I17*0.6285+J17*0.5884+K17*0.5276+1-L17*0.3663)/11.068</f>
        <v>0.56555586688480608</v>
      </c>
      <c r="N17" s="266">
        <f>M17/0.4981*100</f>
        <v>113.54263539144873</v>
      </c>
      <c r="O17" s="264">
        <f>(N17-100)/100*P17*0.6611</f>
        <v>21.845408467779677</v>
      </c>
      <c r="P17" s="276">
        <v>244</v>
      </c>
      <c r="Q17" s="276">
        <f>P17-W17-Z17-AA17-AB17</f>
        <v>213</v>
      </c>
      <c r="R17" s="276">
        <v>13</v>
      </c>
      <c r="S17" s="276">
        <v>30</v>
      </c>
      <c r="T17" s="276">
        <v>4</v>
      </c>
      <c r="U17" s="276">
        <v>0</v>
      </c>
      <c r="V17" s="276">
        <v>2</v>
      </c>
      <c r="W17" s="276">
        <v>26</v>
      </c>
      <c r="X17" s="277">
        <v>95</v>
      </c>
      <c r="Y17" s="276">
        <f>S17+T17+U17*2+V17*3</f>
        <v>40</v>
      </c>
      <c r="Z17" s="276">
        <v>2</v>
      </c>
      <c r="AA17" s="276">
        <v>3</v>
      </c>
      <c r="AB17" s="276">
        <v>0</v>
      </c>
      <c r="AC17" s="9"/>
      <c r="AD17" s="6">
        <v>2006</v>
      </c>
      <c r="AE17" s="86">
        <v>0.48333156827692997</v>
      </c>
      <c r="AF17" s="9"/>
    </row>
    <row r="18" spans="1:32" x14ac:dyDescent="0.2">
      <c r="A18" s="9"/>
      <c r="B18" s="251">
        <v>2018</v>
      </c>
      <c r="C18" s="259" t="s">
        <v>473</v>
      </c>
      <c r="D18" s="250">
        <f>(S18-V18)/(Q18-V18-X18+AB18)</f>
        <v>0.28125</v>
      </c>
      <c r="E18" s="250">
        <f>Y18/P18</f>
        <v>0.22142857142857142</v>
      </c>
      <c r="F18" s="250">
        <f>(T18+U18+V18)/S18</f>
        <v>0.24390243902439024</v>
      </c>
      <c r="G18" s="250">
        <f>(Y18+R18)/P18</f>
        <v>0.28214285714285714</v>
      </c>
      <c r="H18" s="250">
        <f>(Y18/Q18)+((S18+W18+Z18)/(Q18+W18+Z18+AB18))</f>
        <v>0.469816564758199</v>
      </c>
      <c r="I18" s="250">
        <f>V18/Y18</f>
        <v>8.0645161290322578E-2</v>
      </c>
      <c r="J18" s="250">
        <f>(AA18+AB18)/Y18</f>
        <v>0</v>
      </c>
      <c r="K18" s="250">
        <f>X18/P18</f>
        <v>0.44285714285714284</v>
      </c>
      <c r="L18" s="250">
        <f>(W18+Z18)/P18</f>
        <v>8.2142857142857142E-2</v>
      </c>
      <c r="M18" s="260">
        <f>(1-D18*0.7635+1-E18*0.7562+1-F18*0.75+1-G18*0.7248+1-H18*0.7021+1-I18*0.6285+J18*0.5884+K18*0.5276+1-L18*0.3663)/11.068</f>
        <v>0.54692954220930434</v>
      </c>
      <c r="N18" s="266">
        <f>M18/0.4898*100</f>
        <v>111.66385100230795</v>
      </c>
      <c r="O18" s="264">
        <f>(N18-100)/100*P18*0.6611</f>
        <v>21.590721313352201</v>
      </c>
      <c r="P18" s="276">
        <v>280</v>
      </c>
      <c r="Q18" s="276">
        <f>P18-W18-Z18-AA18-AB18</f>
        <v>257</v>
      </c>
      <c r="R18" s="276">
        <v>17</v>
      </c>
      <c r="S18" s="276">
        <v>41</v>
      </c>
      <c r="T18" s="276">
        <v>4</v>
      </c>
      <c r="U18" s="276">
        <v>1</v>
      </c>
      <c r="V18" s="276">
        <v>5</v>
      </c>
      <c r="W18" s="276">
        <v>17</v>
      </c>
      <c r="X18" s="277">
        <v>124</v>
      </c>
      <c r="Y18" s="276">
        <f>S18+T18+U18*2+V18*3</f>
        <v>62</v>
      </c>
      <c r="Z18" s="276">
        <v>6</v>
      </c>
      <c r="AA18" s="276">
        <v>0</v>
      </c>
      <c r="AB18" s="276">
        <v>0</v>
      </c>
      <c r="AC18" s="9"/>
      <c r="AD18" s="6">
        <v>2005</v>
      </c>
      <c r="AE18" s="86">
        <v>0.48725983089978531</v>
      </c>
      <c r="AF18" s="9"/>
    </row>
    <row r="19" spans="1:32" x14ac:dyDescent="0.2">
      <c r="A19" s="9"/>
      <c r="B19" s="251">
        <v>2017</v>
      </c>
      <c r="C19" s="259" t="s">
        <v>305</v>
      </c>
      <c r="D19" s="250">
        <f>(S19-V19)/(Q19-V19-X19+AB19)</f>
        <v>0.26213592233009708</v>
      </c>
      <c r="E19" s="250">
        <f>Y19/P19</f>
        <v>0.22440944881889763</v>
      </c>
      <c r="F19" s="250">
        <f>(T19+U19+V19)/S19</f>
        <v>0.36363636363636365</v>
      </c>
      <c r="G19" s="250">
        <f>(Y19+R19)/P19</f>
        <v>0.26771653543307089</v>
      </c>
      <c r="H19" s="250">
        <f>(Y19/Q19)+((S19+W19+Z19)/(Q19+W19+Z19+AB19))</f>
        <v>0.44413421915734586</v>
      </c>
      <c r="I19" s="250">
        <f>V19/Y19</f>
        <v>0.10526315789473684</v>
      </c>
      <c r="J19" s="250">
        <f>(AA19+AB19)/Y19</f>
        <v>1.7543859649122806E-2</v>
      </c>
      <c r="K19" s="250">
        <f>X19/P19</f>
        <v>0.49606299212598426</v>
      </c>
      <c r="L19" s="250">
        <f>(W19+Z19)/P19</f>
        <v>7.0866141732283464E-2</v>
      </c>
      <c r="M19" s="260">
        <f>(1-D19*0.7635+1-E19*0.7562+1-F19*0.75+1-G19*0.7248+1-H19*0.7021+1-I19*0.6285+J19*0.5884+K19*0.5276+1-L19*0.3663)/11.068</f>
        <v>0.54494899028138966</v>
      </c>
      <c r="N19" s="266">
        <f>M19/0.4849*100</f>
        <v>112.38378846801189</v>
      </c>
      <c r="O19" s="264">
        <f>(N19-100)/100*P19*0.6611</f>
        <v>20.794783292754751</v>
      </c>
      <c r="P19" s="276">
        <v>254</v>
      </c>
      <c r="Q19" s="276">
        <f>P19-W19-Z19-AA19-AB19</f>
        <v>235</v>
      </c>
      <c r="R19" s="276">
        <v>11</v>
      </c>
      <c r="S19" s="276">
        <v>33</v>
      </c>
      <c r="T19" s="276">
        <v>6</v>
      </c>
      <c r="U19" s="276">
        <v>0</v>
      </c>
      <c r="V19" s="276">
        <v>6</v>
      </c>
      <c r="W19" s="276">
        <v>14</v>
      </c>
      <c r="X19" s="277">
        <v>126</v>
      </c>
      <c r="Y19" s="276">
        <f>S19+T19+U19*2+V19*3</f>
        <v>57</v>
      </c>
      <c r="Z19" s="276">
        <v>4</v>
      </c>
      <c r="AA19" s="276">
        <v>1</v>
      </c>
      <c r="AB19" s="276">
        <v>0</v>
      </c>
      <c r="AC19" s="9"/>
      <c r="AD19" s="6">
        <v>2004</v>
      </c>
      <c r="AE19" s="86">
        <v>0.48462898203499583</v>
      </c>
      <c r="AF19" s="9"/>
    </row>
    <row r="20" spans="1:32" x14ac:dyDescent="0.2">
      <c r="A20" s="9"/>
      <c r="B20" s="251">
        <v>1993</v>
      </c>
      <c r="C20" s="259" t="s">
        <v>503</v>
      </c>
      <c r="D20" s="250">
        <f>(S20-V20)/(Q20-V20-X20+AB20)</f>
        <v>0.25</v>
      </c>
      <c r="E20" s="250">
        <f>Y20/P20</f>
        <v>0.26512968299711814</v>
      </c>
      <c r="F20" s="250">
        <f>(T20+U20+V20)/S20</f>
        <v>0.29230769230769232</v>
      </c>
      <c r="G20" s="250">
        <f>(Y20+R20)/P20</f>
        <v>0.32853025936599423</v>
      </c>
      <c r="H20" s="250">
        <f>(Y20/Q20)+((S20+W20+Z20)/(Q20+W20+Z20+AB20))</f>
        <v>0.55429713524317115</v>
      </c>
      <c r="I20" s="250">
        <f>V20/Y20</f>
        <v>3.2608695652173912E-2</v>
      </c>
      <c r="J20" s="250">
        <f>(AA20+AB20)/Y20</f>
        <v>6.5217391304347824E-2</v>
      </c>
      <c r="K20" s="250">
        <f>X20/P20</f>
        <v>0.19020172910662825</v>
      </c>
      <c r="L20" s="250">
        <f>(W20+Z20)/P20</f>
        <v>7.2046109510086456E-2</v>
      </c>
      <c r="M20" s="260">
        <f>(1-D20*0.7635+1-E20*0.7562+1-F20*0.75+1-G20*0.7248+1-H20*0.7021+1-I20*0.6285+J20*0.5884+K20*0.5276+1-L20*0.3663)/11.068</f>
        <v>0.52890781568786649</v>
      </c>
      <c r="N20" s="266">
        <f>M20/0.4852*100</f>
        <v>109.00820603624619</v>
      </c>
      <c r="O20" s="264">
        <f>(N20-100)/100*P20*0.6611</f>
        <v>20.664977786651384</v>
      </c>
      <c r="P20" s="276">
        <v>347</v>
      </c>
      <c r="Q20" s="276">
        <f>P20-W20-Z20-AA20-AB20</f>
        <v>316</v>
      </c>
      <c r="R20" s="276">
        <v>22</v>
      </c>
      <c r="S20" s="276">
        <v>65</v>
      </c>
      <c r="T20" s="276">
        <v>14</v>
      </c>
      <c r="U20" s="276">
        <v>2</v>
      </c>
      <c r="V20" s="276">
        <v>3</v>
      </c>
      <c r="W20" s="276">
        <v>23</v>
      </c>
      <c r="X20" s="277">
        <v>66</v>
      </c>
      <c r="Y20" s="276">
        <f>S20+T20+U20*2+V20*3</f>
        <v>92</v>
      </c>
      <c r="Z20" s="276">
        <v>2</v>
      </c>
      <c r="AA20" s="276">
        <v>5</v>
      </c>
      <c r="AB20" s="276">
        <v>1</v>
      </c>
      <c r="AC20" s="9"/>
      <c r="AD20" s="6">
        <v>2003</v>
      </c>
      <c r="AE20" s="86">
        <v>0.48612495164162228</v>
      </c>
      <c r="AF20" s="9"/>
    </row>
    <row r="21" spans="1:32" x14ac:dyDescent="0.2">
      <c r="A21" s="9"/>
      <c r="B21" s="251">
        <v>2007</v>
      </c>
      <c r="C21" s="259" t="s">
        <v>487</v>
      </c>
      <c r="D21" s="250">
        <f>(S21-V21)/(Q21-V21-X21+AB21)</f>
        <v>0.2</v>
      </c>
      <c r="E21" s="250">
        <f>Y21/P21</f>
        <v>0.23461538461538461</v>
      </c>
      <c r="F21" s="250">
        <f>(T21+U21+V21)/S21</f>
        <v>0.32432432432432434</v>
      </c>
      <c r="G21" s="250">
        <f>(Y21+R21)/P21</f>
        <v>0.27692307692307694</v>
      </c>
      <c r="H21" s="250">
        <f>(Y21/Q21)+((S21+W21+Z21)/(Q21+W21+Z21+AB21))</f>
        <v>0.45361650329937853</v>
      </c>
      <c r="I21" s="250">
        <f>V21/Y21</f>
        <v>9.8360655737704916E-2</v>
      </c>
      <c r="J21" s="250">
        <f>(AA21+AB21)/Y21</f>
        <v>4.9180327868852458E-2</v>
      </c>
      <c r="K21" s="250">
        <f>X21/P21</f>
        <v>0.31538461538461537</v>
      </c>
      <c r="L21" s="250">
        <f>(W21+Z21)/P21</f>
        <v>5.7692307692307696E-2</v>
      </c>
      <c r="M21" s="260">
        <f>(1-D21*0.7635+1-E21*0.7562+1-F21*0.75+1-G21*0.7248+1-H21*0.7021+1-I21*0.6285+J21*0.5884+K21*0.5276+1-L21*0.3663)/11.068</f>
        <v>0.54389454945305182</v>
      </c>
      <c r="N21" s="266">
        <f>M21/0.4859*100</f>
        <v>111.93549072917304</v>
      </c>
      <c r="O21" s="264">
        <f>(N21-100)/100*P21*0.6611</f>
        <v>20.51543759474637</v>
      </c>
      <c r="P21" s="276">
        <v>260</v>
      </c>
      <c r="Q21" s="276">
        <f>P21-W21-Z21-AA21-AB21</f>
        <v>242</v>
      </c>
      <c r="R21" s="276">
        <v>11</v>
      </c>
      <c r="S21" s="276">
        <v>37</v>
      </c>
      <c r="T21" s="276">
        <v>6</v>
      </c>
      <c r="U21" s="276">
        <v>0</v>
      </c>
      <c r="V21" s="276">
        <v>6</v>
      </c>
      <c r="W21" s="276">
        <v>13</v>
      </c>
      <c r="X21" s="277">
        <v>82</v>
      </c>
      <c r="Y21" s="276">
        <f>S21+T21+U21*2+V21*3</f>
        <v>61</v>
      </c>
      <c r="Z21" s="276">
        <v>2</v>
      </c>
      <c r="AA21" s="276">
        <v>2</v>
      </c>
      <c r="AB21" s="276">
        <v>1</v>
      </c>
      <c r="AC21" s="9"/>
      <c r="AD21" s="6">
        <v>2002</v>
      </c>
      <c r="AE21" s="86">
        <v>0.48787575031582736</v>
      </c>
      <c r="AF21" s="9"/>
    </row>
    <row r="22" spans="1:32" x14ac:dyDescent="0.2">
      <c r="A22" s="9"/>
      <c r="B22" s="251">
        <v>1986</v>
      </c>
      <c r="C22" s="259" t="s">
        <v>508</v>
      </c>
      <c r="D22" s="250">
        <f>(S22-V22)/(Q22-V22-X22+AB22)</f>
        <v>0.27450980392156865</v>
      </c>
      <c r="E22" s="250">
        <f>Y22/P22</f>
        <v>0.26436781609195403</v>
      </c>
      <c r="F22" s="250">
        <f>(T22+U22+V22)/S22</f>
        <v>0.21590909090909091</v>
      </c>
      <c r="G22" s="250">
        <f>(Y22+R22)/P22</f>
        <v>0.335632183908046</v>
      </c>
      <c r="H22" s="250">
        <f>(Y22/Q22)+((S22+W22+Z22)/(Q22+W22+Z22+AB22))</f>
        <v>0.58632749447001853</v>
      </c>
      <c r="I22" s="250">
        <f>V22/Y22</f>
        <v>3.4782608695652174E-2</v>
      </c>
      <c r="J22" s="250">
        <f>(AA22+AB22)/Y22</f>
        <v>7.8260869565217397E-2</v>
      </c>
      <c r="K22" s="250">
        <f>X22/P22</f>
        <v>0.19080459770114944</v>
      </c>
      <c r="L22" s="250">
        <f>(W22+Z22)/P22</f>
        <v>8.5057471264367815E-2</v>
      </c>
      <c r="M22" s="260">
        <f>(1-D22*0.7635+1-E22*0.7562+1-F22*0.75+1-G22*0.7248+1-H22*0.7021+1-I22*0.6285+J22*0.5884+K22*0.5276+1-L22*0.3663)/11.068</f>
        <v>0.53011727894301786</v>
      </c>
      <c r="N22" s="266">
        <f>M22/0.4953*100</f>
        <v>107.0295334025879</v>
      </c>
      <c r="O22" s="264">
        <f>(N22-100)/100*P22*0.6611</f>
        <v>20.215426716161247</v>
      </c>
      <c r="P22" s="276">
        <v>435</v>
      </c>
      <c r="Q22" s="276">
        <f>P22-W22-Z22-AA22-AB22</f>
        <v>389</v>
      </c>
      <c r="R22" s="276">
        <v>31</v>
      </c>
      <c r="S22" s="276">
        <v>88</v>
      </c>
      <c r="T22" s="276">
        <v>15</v>
      </c>
      <c r="U22" s="276">
        <v>0</v>
      </c>
      <c r="V22" s="276">
        <v>4</v>
      </c>
      <c r="W22" s="276">
        <v>35</v>
      </c>
      <c r="X22" s="277">
        <v>83</v>
      </c>
      <c r="Y22" s="276">
        <f>S22+T22+U22*2+V22*3</f>
        <v>115</v>
      </c>
      <c r="Z22" s="276">
        <v>2</v>
      </c>
      <c r="AA22" s="276">
        <v>5</v>
      </c>
      <c r="AB22" s="276">
        <v>4</v>
      </c>
      <c r="AC22" s="9"/>
      <c r="AD22" s="6">
        <v>2001</v>
      </c>
      <c r="AE22" s="86">
        <v>0.48496474467178197</v>
      </c>
      <c r="AF22" s="9"/>
    </row>
    <row r="23" spans="1:32" x14ac:dyDescent="0.2">
      <c r="A23" s="9"/>
      <c r="B23" s="251">
        <v>2004</v>
      </c>
      <c r="C23" s="259" t="s">
        <v>23</v>
      </c>
      <c r="D23" s="250">
        <f>(S23-V23)/(Q23-V23-X23+AB23)</f>
        <v>0.2818181818181818</v>
      </c>
      <c r="E23" s="250">
        <f>Y23/P23</f>
        <v>0.26898734177215189</v>
      </c>
      <c r="F23" s="250">
        <f>(T23+U23+V23)/S23</f>
        <v>0.18461538461538463</v>
      </c>
      <c r="G23" s="250">
        <f>(Y23+R23)/P23</f>
        <v>0.32278481012658228</v>
      </c>
      <c r="H23" s="250">
        <f>(Y23/Q23)+((S23+W23+Z23)/(Q23+W23+Z23+AB23))</f>
        <v>0.58074185088047958</v>
      </c>
      <c r="I23" s="250">
        <f>V23/Y23</f>
        <v>3.5294117647058823E-2</v>
      </c>
      <c r="J23" s="250">
        <f>(AA23+AB23)/Y23</f>
        <v>2.3529411764705882E-2</v>
      </c>
      <c r="K23" s="250">
        <f>X23/P23</f>
        <v>0.20886075949367089</v>
      </c>
      <c r="L23" s="250">
        <f>(W23+Z23)/P23</f>
        <v>7.9113924050632917E-2</v>
      </c>
      <c r="M23" s="260">
        <f>(1-D23*0.7635+1-E23*0.7562+1-F23*0.75+1-G23*0.7248+1-H23*0.7021+1-I23*0.6285+J23*0.5884+K23*0.5276+1-L23*0.3663)/11.068</f>
        <v>0.53073243831401684</v>
      </c>
      <c r="N23" s="266">
        <f>M23/0.4846*100</f>
        <v>109.51969424556682</v>
      </c>
      <c r="O23" s="264">
        <f>(N23-100)/100*P23*0.6611</f>
        <v>19.88736477575176</v>
      </c>
      <c r="P23" s="276">
        <v>316</v>
      </c>
      <c r="Q23" s="276">
        <f>P23-W23-Z23-AA23-AB23</f>
        <v>289</v>
      </c>
      <c r="R23" s="276">
        <v>17</v>
      </c>
      <c r="S23" s="276">
        <v>65</v>
      </c>
      <c r="T23" s="276">
        <v>7</v>
      </c>
      <c r="U23" s="276">
        <v>2</v>
      </c>
      <c r="V23" s="276">
        <v>3</v>
      </c>
      <c r="W23" s="276">
        <v>20</v>
      </c>
      <c r="X23" s="277">
        <v>66</v>
      </c>
      <c r="Y23" s="276">
        <f>S23+T23+U23*2+V23*3</f>
        <v>85</v>
      </c>
      <c r="Z23" s="276">
        <v>5</v>
      </c>
      <c r="AA23" s="276">
        <v>2</v>
      </c>
      <c r="AB23" s="276">
        <v>0</v>
      </c>
      <c r="AC23" s="9"/>
      <c r="AD23" s="6">
        <v>2000</v>
      </c>
      <c r="AE23" s="86">
        <v>0.48152506500416498</v>
      </c>
      <c r="AF23" s="9"/>
    </row>
    <row r="24" spans="1:32" x14ac:dyDescent="0.2">
      <c r="A24" s="9"/>
      <c r="B24" s="251">
        <v>2017</v>
      </c>
      <c r="C24" s="259" t="s">
        <v>474</v>
      </c>
      <c r="D24" s="250">
        <f>(S24-V24)/(Q24-V24-X24+AB24)</f>
        <v>0.28888888888888886</v>
      </c>
      <c r="E24" s="250">
        <f>Y24/P24</f>
        <v>0.25968992248062017</v>
      </c>
      <c r="F24" s="250">
        <f>(T24+U24+V24)/S24</f>
        <v>0.27272727272727271</v>
      </c>
      <c r="G24" s="250">
        <f>(Y24+R24)/P24</f>
        <v>0.30232558139534882</v>
      </c>
      <c r="H24" s="250">
        <f>(Y24/Q24)+((S24+W24+Z24)/(Q24+W24+Z24+AB24))</f>
        <v>0.47450266181003087</v>
      </c>
      <c r="I24" s="250">
        <f>V24/Y24</f>
        <v>7.4626865671641784E-2</v>
      </c>
      <c r="J24" s="250">
        <f>(AA24+AB24)/Y24</f>
        <v>0</v>
      </c>
      <c r="K24" s="250">
        <f>X24/P24</f>
        <v>0.42248062015503873</v>
      </c>
      <c r="L24" s="250">
        <f>(W24+Z24)/P24</f>
        <v>3.4883720930232558E-2</v>
      </c>
      <c r="M24" s="260">
        <f>(1-D24*0.7635+1-E24*0.7562+1-F24*0.75+1-G24*0.7248+1-H24*0.7021+1-I24*0.6285+J24*0.5884+K24*0.5276+1-L24*0.3663)/11.068</f>
        <v>0.54115073566121152</v>
      </c>
      <c r="N24" s="266">
        <f>M24/0.4849*100</f>
        <v>111.60048167894649</v>
      </c>
      <c r="O24" s="264">
        <f>(N24-100)/100*P24*0.6611</f>
        <v>19.786222369914938</v>
      </c>
      <c r="P24" s="276">
        <v>258</v>
      </c>
      <c r="Q24" s="276">
        <f>P24-W24-Z24-AA24-AB24</f>
        <v>249</v>
      </c>
      <c r="R24" s="276">
        <v>11</v>
      </c>
      <c r="S24" s="276">
        <v>44</v>
      </c>
      <c r="T24" s="276">
        <v>6</v>
      </c>
      <c r="U24" s="276">
        <v>1</v>
      </c>
      <c r="V24" s="276">
        <v>5</v>
      </c>
      <c r="W24" s="276">
        <v>7</v>
      </c>
      <c r="X24" s="277">
        <v>109</v>
      </c>
      <c r="Y24" s="276">
        <f>S24+T24+U24*2+V24*3</f>
        <v>67</v>
      </c>
      <c r="Z24" s="276">
        <v>2</v>
      </c>
      <c r="AA24" s="276">
        <v>0</v>
      </c>
      <c r="AB24" s="276">
        <v>0</v>
      </c>
      <c r="AC24" s="9"/>
      <c r="AD24" s="6">
        <v>1999</v>
      </c>
      <c r="AE24" s="86">
        <v>0.48264185168330759</v>
      </c>
      <c r="AF24" s="9"/>
    </row>
    <row r="25" spans="1:32" x14ac:dyDescent="0.2">
      <c r="A25" s="9"/>
      <c r="B25" s="251">
        <v>1995</v>
      </c>
      <c r="C25" s="259" t="s">
        <v>500</v>
      </c>
      <c r="D25" s="250">
        <f>(S25-V25)/(Q25-V25-X25+AB25)</f>
        <v>0.27380952380952384</v>
      </c>
      <c r="E25" s="250">
        <f>Y25/P25</f>
        <v>0.248</v>
      </c>
      <c r="F25" s="250">
        <f>(T25+U25+V25)/S25</f>
        <v>0.14285714285714285</v>
      </c>
      <c r="G25" s="250">
        <f>(Y25+R25)/P25</f>
        <v>0.28399999999999997</v>
      </c>
      <c r="H25" s="250">
        <f>(Y25/Q25)+((S25+W25+Z25)/(Q25+W25+Z25+AB25))</f>
        <v>0.54142043623079406</v>
      </c>
      <c r="I25" s="250">
        <f>V25/Y25</f>
        <v>4.8387096774193547E-2</v>
      </c>
      <c r="J25" s="250">
        <f>(AA25+AB25)/Y25</f>
        <v>9.6774193548387094E-2</v>
      </c>
      <c r="K25" s="250">
        <f>X25/P25</f>
        <v>0.23200000000000001</v>
      </c>
      <c r="L25" s="250">
        <f>(W25+Z25)/P25</f>
        <v>6.8000000000000005E-2</v>
      </c>
      <c r="M25" s="260">
        <f>(1-D25*0.7635+1-E25*0.7562+1-F25*0.75+1-G25*0.7248+1-H25*0.7021+1-I25*0.6285+J25*0.5884+K25*0.5276+1-L25*0.3663)/11.068</f>
        <v>0.54520391473728047</v>
      </c>
      <c r="N25" s="266">
        <f>M25/0.4881*100</f>
        <v>111.69922449032586</v>
      </c>
      <c r="O25" s="264">
        <f>(N25-100)/100*P25*0.6611</f>
        <v>19.335893276386066</v>
      </c>
      <c r="P25" s="276">
        <v>250</v>
      </c>
      <c r="Q25" s="276">
        <f>P25-W25-Z25-AA25-AB25</f>
        <v>227</v>
      </c>
      <c r="R25" s="276">
        <v>9</v>
      </c>
      <c r="S25" s="276">
        <v>49</v>
      </c>
      <c r="T25" s="276">
        <v>4</v>
      </c>
      <c r="U25" s="276">
        <v>0</v>
      </c>
      <c r="V25" s="276">
        <v>3</v>
      </c>
      <c r="W25" s="276">
        <v>17</v>
      </c>
      <c r="X25" s="277">
        <v>58</v>
      </c>
      <c r="Y25" s="276">
        <f>S25+T25+U25*2+V25*3</f>
        <v>62</v>
      </c>
      <c r="Z25" s="276">
        <v>0</v>
      </c>
      <c r="AA25" s="276">
        <v>4</v>
      </c>
      <c r="AB25" s="276">
        <v>2</v>
      </c>
      <c r="AC25" s="9"/>
      <c r="AD25" s="6">
        <v>1998</v>
      </c>
      <c r="AE25" s="86">
        <v>0.48704797809522182</v>
      </c>
      <c r="AF25" s="9"/>
    </row>
    <row r="26" spans="1:32" x14ac:dyDescent="0.2">
      <c r="A26" s="9"/>
      <c r="B26" s="251">
        <v>1983</v>
      </c>
      <c r="C26" s="259" t="s">
        <v>510</v>
      </c>
      <c r="D26" s="250">
        <f>(S26-V26)/(Q26-V26-X26+AB26)</f>
        <v>0.24086021505376345</v>
      </c>
      <c r="E26" s="250">
        <f>Y26/P26</f>
        <v>0.30223880597014924</v>
      </c>
      <c r="F26" s="250">
        <f>(T26+U26+V26)/S26</f>
        <v>0.23728813559322035</v>
      </c>
      <c r="G26" s="250">
        <f>(Y26+R26)/P26</f>
        <v>0.3675373134328358</v>
      </c>
      <c r="H26" s="250">
        <f>(Y26/Q26)+((S26+W26+Z26)/(Q26+W26+Z26+AB26))</f>
        <v>0.55795933321121083</v>
      </c>
      <c r="I26" s="250">
        <f>V26/Y26</f>
        <v>3.7037037037037035E-2</v>
      </c>
      <c r="J26" s="250">
        <f>(AA26+AB26)/Y26</f>
        <v>6.1728395061728392E-2</v>
      </c>
      <c r="K26" s="250">
        <f>X26/P26</f>
        <v>8.9552238805970144E-2</v>
      </c>
      <c r="L26" s="291">
        <f>(W26+Z26)/P26</f>
        <v>2.0522388059701493E-2</v>
      </c>
      <c r="M26" s="260">
        <f>(1-D26*0.7635+1-E26*0.7562+1-F26*0.75+1-G26*0.7248+1-H26*0.7021+1-I26*0.6285+J26*0.5884+K26*0.5276+1-L26*0.3663)/11.068</f>
        <v>0.52441484159175134</v>
      </c>
      <c r="N26" s="266">
        <f>M26/0.4973*100</f>
        <v>105.452411339584</v>
      </c>
      <c r="O26" s="264">
        <f>(N26-100)/100*P26*0.6611</f>
        <v>19.320597772170558</v>
      </c>
      <c r="P26" s="276">
        <v>536</v>
      </c>
      <c r="Q26" s="276">
        <f>P26-W26-Z26-AA26-AB26</f>
        <v>515</v>
      </c>
      <c r="R26" s="276">
        <v>35</v>
      </c>
      <c r="S26" s="276">
        <v>118</v>
      </c>
      <c r="T26" s="276">
        <v>18</v>
      </c>
      <c r="U26" s="276">
        <v>4</v>
      </c>
      <c r="V26" s="276">
        <v>6</v>
      </c>
      <c r="W26" s="276">
        <v>11</v>
      </c>
      <c r="X26" s="277">
        <v>48</v>
      </c>
      <c r="Y26" s="276">
        <f>S26+T26+U26*2+V26*3</f>
        <v>162</v>
      </c>
      <c r="Z26" s="276">
        <v>0</v>
      </c>
      <c r="AA26" s="276">
        <v>6</v>
      </c>
      <c r="AB26" s="276">
        <v>4</v>
      </c>
      <c r="AC26" s="9"/>
      <c r="AD26" s="6">
        <v>1997</v>
      </c>
      <c r="AE26" s="86">
        <v>0.48757705381289906</v>
      </c>
      <c r="AF26" s="9"/>
    </row>
    <row r="27" spans="1:32" x14ac:dyDescent="0.2">
      <c r="A27" s="9"/>
      <c r="B27" s="251">
        <v>1978</v>
      </c>
      <c r="C27" s="259" t="s">
        <v>108</v>
      </c>
      <c r="D27" s="250">
        <f>(S27-V27)/(Q27-V27-X27+AB27)</f>
        <v>0.24691358024691357</v>
      </c>
      <c r="E27" s="250">
        <f>Y27/P27</f>
        <v>0.25576036866359447</v>
      </c>
      <c r="F27" s="250">
        <f>(T27+U27+V27)/S27</f>
        <v>0.20238095238095238</v>
      </c>
      <c r="G27" s="250">
        <f>(Y27+R27)/P27</f>
        <v>0.33179723502304148</v>
      </c>
      <c r="H27" s="250">
        <f>(Y27/Q27)+((S27+W27+Z27)/(Q27+W27+Z27+AB27))</f>
        <v>0.54471325639974222</v>
      </c>
      <c r="I27" s="250">
        <f>V27/Y27</f>
        <v>3.6036036036036036E-2</v>
      </c>
      <c r="J27" s="250">
        <f>(AA27+AB27)/Y27</f>
        <v>6.3063063063063057E-2</v>
      </c>
      <c r="K27" s="250">
        <f>X27/P27</f>
        <v>0.16589861751152074</v>
      </c>
      <c r="L27" s="250">
        <f>(W27+Z27)/P27</f>
        <v>6.9124423963133647E-2</v>
      </c>
      <c r="M27" s="260">
        <f>(1-D27*0.7635+1-E27*0.7562+1-F27*0.75+1-G27*0.7248+1-H27*0.7021+1-I27*0.6285+J27*0.5884+K27*0.5276+1-L27*0.3663)/11.068</f>
        <v>0.53487761609219708</v>
      </c>
      <c r="N27" s="266">
        <f>M27/0.5012*100</f>
        <v>106.71939666643996</v>
      </c>
      <c r="O27" s="264">
        <f>(N27-100)/100*P27*0.6611</f>
        <v>19.279118211036216</v>
      </c>
      <c r="P27" s="276">
        <v>434</v>
      </c>
      <c r="Q27" s="276">
        <f>P27-W27-Z27-AA27-AB27</f>
        <v>397</v>
      </c>
      <c r="R27" s="276">
        <v>33</v>
      </c>
      <c r="S27" s="276">
        <v>84</v>
      </c>
      <c r="T27" s="276">
        <v>11</v>
      </c>
      <c r="U27" s="276">
        <v>2</v>
      </c>
      <c r="V27" s="276">
        <v>4</v>
      </c>
      <c r="W27" s="276">
        <v>29</v>
      </c>
      <c r="X27" s="277">
        <v>72</v>
      </c>
      <c r="Y27" s="276">
        <f>S27+T27+U27*2+V27*3</f>
        <v>111</v>
      </c>
      <c r="Z27" s="276">
        <v>1</v>
      </c>
      <c r="AA27" s="276">
        <v>4</v>
      </c>
      <c r="AB27" s="276">
        <v>3</v>
      </c>
      <c r="AC27" s="9"/>
      <c r="AD27" s="6">
        <v>1996</v>
      </c>
      <c r="AE27" s="86">
        <v>0.48516506295583844</v>
      </c>
      <c r="AF27" s="9"/>
    </row>
    <row r="28" spans="1:32" x14ac:dyDescent="0.2">
      <c r="A28" s="9"/>
      <c r="B28" s="251">
        <v>2002</v>
      </c>
      <c r="C28" s="259" t="s">
        <v>490</v>
      </c>
      <c r="D28" s="250">
        <f>(S28-V28)/(Q28-V28-X28+AB28)</f>
        <v>0.27272727272727271</v>
      </c>
      <c r="E28" s="250">
        <f>Y28/P28</f>
        <v>0.26381909547738691</v>
      </c>
      <c r="F28" s="250">
        <f>(T28+U28+V28)/S28</f>
        <v>0.23287671232876711</v>
      </c>
      <c r="G28" s="250">
        <f>(Y28+R28)/P28</f>
        <v>0.3592964824120603</v>
      </c>
      <c r="H28" s="250">
        <f>(Y28/Q28)+((S28+W28+Z28)/(Q28+W28+Z28+AB28))</f>
        <v>0.62169339876713148</v>
      </c>
      <c r="I28" s="250">
        <f>V28/Y28</f>
        <v>6.6666666666666666E-2</v>
      </c>
      <c r="J28" s="250">
        <f>(AA28+AB28)/Y28</f>
        <v>6.6666666666666666E-2</v>
      </c>
      <c r="K28" s="250">
        <f>X28/P28</f>
        <v>0.23366834170854273</v>
      </c>
      <c r="L28" s="250">
        <f>(W28+Z28)/P28</f>
        <v>0.12562814070351758</v>
      </c>
      <c r="M28" s="260">
        <f>(1-D28*0.7635+1-E28*0.7562+1-F28*0.75+1-G28*0.7248+1-H28*0.7021+1-I28*0.6285+J28*0.5884+K28*0.5276+1-L28*0.3663)/11.068</f>
        <v>0.5236084805847383</v>
      </c>
      <c r="N28" s="266">
        <f>M28/0.4879*100</f>
        <v>107.31881135165777</v>
      </c>
      <c r="O28" s="264">
        <f>(N28-100)/100*P28*0.6611</f>
        <v>19.25709541463219</v>
      </c>
      <c r="P28" s="276">
        <v>398</v>
      </c>
      <c r="Q28" s="276">
        <f>P28-W28-Z28-AA28-AB28</f>
        <v>341</v>
      </c>
      <c r="R28" s="276">
        <v>38</v>
      </c>
      <c r="S28" s="276">
        <v>73</v>
      </c>
      <c r="T28" s="276">
        <v>9</v>
      </c>
      <c r="U28" s="276">
        <v>1</v>
      </c>
      <c r="V28" s="276">
        <v>7</v>
      </c>
      <c r="W28" s="276">
        <v>46</v>
      </c>
      <c r="X28" s="277">
        <v>93</v>
      </c>
      <c r="Y28" s="276">
        <f>S28+T28+U28*2+V28*3</f>
        <v>105</v>
      </c>
      <c r="Z28" s="276">
        <v>4</v>
      </c>
      <c r="AA28" s="276">
        <v>6</v>
      </c>
      <c r="AB28" s="276">
        <v>1</v>
      </c>
      <c r="AC28" s="9"/>
      <c r="AD28" s="6">
        <v>1995</v>
      </c>
      <c r="AE28" s="86">
        <v>0.48805544576048798</v>
      </c>
      <c r="AF28" s="9"/>
    </row>
    <row r="29" spans="1:32" x14ac:dyDescent="0.2">
      <c r="A29" s="9"/>
      <c r="B29" s="251">
        <v>2016</v>
      </c>
      <c r="C29" s="259" t="s">
        <v>474</v>
      </c>
      <c r="D29" s="250">
        <f>(S29-V29)/(Q29-V29-X29+AB29)</f>
        <v>0.24409448818897639</v>
      </c>
      <c r="E29" s="250">
        <f>Y29/P29</f>
        <v>0.23505976095617531</v>
      </c>
      <c r="F29" s="250">
        <f>(T29+U29+V29)/S29</f>
        <v>0.4</v>
      </c>
      <c r="G29" s="250">
        <f>(Y29+R29)/P29</f>
        <v>0.2908366533864542</v>
      </c>
      <c r="H29" s="250">
        <f>(Y29/Q29)+((S29+W29+Z29)/(Q29+W29+Z29+AB29))</f>
        <v>0.44568513923352632</v>
      </c>
      <c r="I29" s="250">
        <f>V29/Y29</f>
        <v>6.7796610169491525E-2</v>
      </c>
      <c r="J29" s="250">
        <f>(AA29+AB29)/Y29</f>
        <v>6.7796610169491525E-2</v>
      </c>
      <c r="K29" s="250">
        <f>X29/P29</f>
        <v>0.41434262948207173</v>
      </c>
      <c r="L29" s="250">
        <f>(W29+Z29)/P29</f>
        <v>5.1792828685258967E-2</v>
      </c>
      <c r="M29" s="260">
        <f>(1-D29*0.7635+1-E29*0.7562+1-F29*0.75+1-G29*0.7248+1-H29*0.7021+1-I29*0.6285+J29*0.5884+K29*0.5276+1-L29*0.3663)/11.068</f>
        <v>0.54292415418339623</v>
      </c>
      <c r="N29" s="266">
        <f>M29/0.488*100</f>
        <v>111.25494962774513</v>
      </c>
      <c r="O29" s="264">
        <f>(N29-100)/100*P29*0.6611</f>
        <v>18.676024469244794</v>
      </c>
      <c r="P29" s="276">
        <v>251</v>
      </c>
      <c r="Q29" s="276">
        <f>P29-W29-Z29-AA29-AB29</f>
        <v>234</v>
      </c>
      <c r="R29" s="276">
        <v>14</v>
      </c>
      <c r="S29" s="276">
        <v>35</v>
      </c>
      <c r="T29" s="276">
        <v>8</v>
      </c>
      <c r="U29" s="276">
        <v>2</v>
      </c>
      <c r="V29" s="276">
        <v>4</v>
      </c>
      <c r="W29" s="276">
        <v>11</v>
      </c>
      <c r="X29" s="277">
        <v>104</v>
      </c>
      <c r="Y29" s="276">
        <f>S29+T29+U29*2+V29*3</f>
        <v>59</v>
      </c>
      <c r="Z29" s="276">
        <v>2</v>
      </c>
      <c r="AA29" s="276">
        <v>3</v>
      </c>
      <c r="AB29" s="276">
        <v>1</v>
      </c>
      <c r="AC29" s="9"/>
      <c r="AD29" s="6">
        <v>1994</v>
      </c>
      <c r="AE29" s="86">
        <v>0.48595504951477814</v>
      </c>
      <c r="AF29" s="9"/>
    </row>
    <row r="30" spans="1:32" x14ac:dyDescent="0.2">
      <c r="A30" s="9"/>
      <c r="B30" s="251">
        <v>2008</v>
      </c>
      <c r="C30" s="259" t="s">
        <v>486</v>
      </c>
      <c r="D30" s="250">
        <f>(S30-V30)/(Q30-V30-X30+AB30)</f>
        <v>0.3</v>
      </c>
      <c r="E30" s="250">
        <f>Y30/P30</f>
        <v>0.23287671232876711</v>
      </c>
      <c r="F30" s="250">
        <f>(T30+U30+V30)/S30</f>
        <v>0.26</v>
      </c>
      <c r="G30" s="250">
        <f>(Y30+R30)/P30</f>
        <v>0.2910958904109589</v>
      </c>
      <c r="H30" s="250">
        <f>(Y30/Q30)+((S30+W30+Z30)/(Q30+W30+Z30+AB30))</f>
        <v>0.56532642769524322</v>
      </c>
      <c r="I30" s="250">
        <f>V30/Y30</f>
        <v>2.9411764705882353E-2</v>
      </c>
      <c r="J30" s="250">
        <f>(AA30+AB30)/Y30</f>
        <v>4.4117647058823532E-2</v>
      </c>
      <c r="K30" s="250">
        <f>X30/P30</f>
        <v>0.31506849315068491</v>
      </c>
      <c r="L30" s="250">
        <f>(W30+Z30)/P30</f>
        <v>0.12328767123287671</v>
      </c>
      <c r="M30" s="260">
        <f>(1-D30*0.7635+1-E30*0.7562+1-F30*0.75+1-G30*0.7248+1-H30*0.7021+1-I30*0.6285+J30*0.5884+K30*0.5276+1-L30*0.3663)/11.068</f>
        <v>0.53491959128187183</v>
      </c>
      <c r="N30" s="266">
        <f>M30/0.4878*100</f>
        <v>109.65961280891182</v>
      </c>
      <c r="O30" s="264">
        <f>(N30-100)/100*P30*0.6611</f>
        <v>18.647032481677076</v>
      </c>
      <c r="P30" s="276">
        <v>292</v>
      </c>
      <c r="Q30" s="276">
        <f>P30-W30-Z30-AA30-AB30</f>
        <v>253</v>
      </c>
      <c r="R30" s="276">
        <v>17</v>
      </c>
      <c r="S30" s="276">
        <v>50</v>
      </c>
      <c r="T30" s="276">
        <v>10</v>
      </c>
      <c r="U30" s="276">
        <v>1</v>
      </c>
      <c r="V30" s="276">
        <v>2</v>
      </c>
      <c r="W30" s="276">
        <v>35</v>
      </c>
      <c r="X30" s="277">
        <v>92</v>
      </c>
      <c r="Y30" s="276">
        <f>S30+T30+U30*2+V30*3</f>
        <v>68</v>
      </c>
      <c r="Z30" s="276">
        <v>1</v>
      </c>
      <c r="AA30" s="276">
        <v>2</v>
      </c>
      <c r="AB30" s="276">
        <v>1</v>
      </c>
      <c r="AC30" s="9"/>
      <c r="AD30" s="6">
        <v>1993</v>
      </c>
      <c r="AE30" s="86">
        <v>0.4929590308351024</v>
      </c>
      <c r="AF30" s="9"/>
    </row>
    <row r="31" spans="1:32" x14ac:dyDescent="0.2">
      <c r="A31" s="9"/>
      <c r="B31" s="251">
        <v>2015</v>
      </c>
      <c r="C31" s="259" t="s">
        <v>476</v>
      </c>
      <c r="D31" s="250">
        <f>(S31-V31)/(Q31-V31-X31+AB31)</f>
        <v>0.24347826086956523</v>
      </c>
      <c r="E31" s="250">
        <f>Y31/P31</f>
        <v>0.21138211382113822</v>
      </c>
      <c r="F31" s="250">
        <f>(T31+U31+V31)/S31</f>
        <v>0.27272727272727271</v>
      </c>
      <c r="G31" s="250">
        <f>(Y31+R31)/P31</f>
        <v>0.27642276422764228</v>
      </c>
      <c r="H31" s="250">
        <f>(Y31/Q31)+((S31+W31+Z31)/(Q31+W31+Z31+AB31))</f>
        <v>0.47526680396929416</v>
      </c>
      <c r="I31" s="250">
        <f>V31/Y31</f>
        <v>9.6153846153846159E-2</v>
      </c>
      <c r="J31" s="250">
        <f>(AA31+AB31)/Y31</f>
        <v>5.7692307692307696E-2</v>
      </c>
      <c r="K31" s="250">
        <f>X31/P31</f>
        <v>0.4065040650406504</v>
      </c>
      <c r="L31" s="250">
        <f>(W31+Z31)/P31</f>
        <v>0.1016260162601626</v>
      </c>
      <c r="M31" s="260">
        <f>(1-D31*0.7635+1-E31*0.7562+1-F31*0.75+1-G31*0.7248+1-H31*0.7021+1-I31*0.6285+J31*0.5884+K31*0.5276+1-L31*0.3663)/11.068</f>
        <v>0.54810580888397753</v>
      </c>
      <c r="N31" s="266">
        <f>M31/0.4923*100</f>
        <v>111.33573205037122</v>
      </c>
      <c r="O31" s="264">
        <f>(N31-100)/100*P31*0.6611</f>
        <v>18.435369047911017</v>
      </c>
      <c r="P31" s="276">
        <v>246</v>
      </c>
      <c r="Q31" s="276">
        <f>P31-W31-Z31-AA31-AB31</f>
        <v>218</v>
      </c>
      <c r="R31" s="276">
        <v>16</v>
      </c>
      <c r="S31" s="276">
        <v>33</v>
      </c>
      <c r="T31" s="276">
        <v>4</v>
      </c>
      <c r="U31" s="276">
        <v>0</v>
      </c>
      <c r="V31" s="276">
        <v>5</v>
      </c>
      <c r="W31" s="276">
        <v>20</v>
      </c>
      <c r="X31" s="277">
        <v>100</v>
      </c>
      <c r="Y31" s="276">
        <f>S31+T31+U31*2+V31*3</f>
        <v>52</v>
      </c>
      <c r="Z31" s="276">
        <v>5</v>
      </c>
      <c r="AA31" s="276">
        <v>1</v>
      </c>
      <c r="AB31" s="276">
        <v>2</v>
      </c>
      <c r="AC31" s="9"/>
      <c r="AD31" s="6">
        <v>1992</v>
      </c>
      <c r="AE31" s="86">
        <v>0.50116080021520182</v>
      </c>
      <c r="AF31" s="9"/>
    </row>
    <row r="32" spans="1:32" x14ac:dyDescent="0.2">
      <c r="A32" s="9"/>
      <c r="B32" s="251">
        <v>2019</v>
      </c>
      <c r="C32" s="259" t="s">
        <v>471</v>
      </c>
      <c r="D32" s="250">
        <f>(S32-V32)/(Q32-V32-X32+AB32)</f>
        <v>0.28925619834710742</v>
      </c>
      <c r="E32" s="250">
        <f>Y32/P32</f>
        <v>0.22978723404255319</v>
      </c>
      <c r="F32" s="250">
        <f>(T32+U32+V32)/S32</f>
        <v>0.26315789473684209</v>
      </c>
      <c r="G32" s="250">
        <f>(Y32+R32)/P32</f>
        <v>0.30638297872340425</v>
      </c>
      <c r="H32" s="250">
        <f>(Y32/Q32)+((S32+W32+Z32)/(Q32+W32+Z32+AB32))</f>
        <v>0.53447634786201204</v>
      </c>
      <c r="I32" s="250">
        <f>V32/Y32</f>
        <v>5.5555555555555552E-2</v>
      </c>
      <c r="J32" s="250">
        <f>(AA32+AB32)/Y32</f>
        <v>5.5555555555555552E-2</v>
      </c>
      <c r="K32" s="250">
        <f>X32/P32</f>
        <v>0.36170212765957449</v>
      </c>
      <c r="L32" s="250">
        <f>(W32+Z32)/P32</f>
        <v>0.11063829787234042</v>
      </c>
      <c r="M32" s="260">
        <f>(1-D32*0.7635+1-E32*0.7562+1-F32*0.75+1-G32*0.7248+1-H32*0.7021+1-I32*0.6285+J32*0.5884+K32*0.5276+1-L32*0.3663)/11.068</f>
        <v>0.53837880326874843</v>
      </c>
      <c r="N32" s="266">
        <f>M32/0.4819*100</f>
        <v>111.72002557973613</v>
      </c>
      <c r="O32" s="264">
        <f>(N32-100)/100*P32*0.6611</f>
        <v>18.208055940294358</v>
      </c>
      <c r="P32" s="276">
        <v>235</v>
      </c>
      <c r="Q32" s="276">
        <f>P32-W32-Z32-AA32-AB32</f>
        <v>206</v>
      </c>
      <c r="R32" s="276">
        <v>18</v>
      </c>
      <c r="S32" s="276">
        <v>38</v>
      </c>
      <c r="T32" s="276">
        <v>7</v>
      </c>
      <c r="U32" s="276">
        <v>0</v>
      </c>
      <c r="V32" s="276">
        <v>3</v>
      </c>
      <c r="W32" s="276">
        <v>25</v>
      </c>
      <c r="X32" s="277">
        <v>85</v>
      </c>
      <c r="Y32" s="276">
        <f>S32+T32+U32*2+V32*3</f>
        <v>54</v>
      </c>
      <c r="Z32" s="276">
        <v>1</v>
      </c>
      <c r="AA32" s="276">
        <v>0</v>
      </c>
      <c r="AB32" s="276">
        <v>3</v>
      </c>
      <c r="AC32" s="9"/>
      <c r="AD32" s="6">
        <v>1991</v>
      </c>
      <c r="AE32" s="86">
        <v>0.49864177252393077</v>
      </c>
      <c r="AF32" s="9"/>
    </row>
    <row r="33" spans="1:32" x14ac:dyDescent="0.2">
      <c r="A33" s="9"/>
      <c r="B33" s="251">
        <v>1991</v>
      </c>
      <c r="C33" s="259" t="s">
        <v>504</v>
      </c>
      <c r="D33" s="250">
        <f>(S33-V33)/(Q33-V33-X33+AB33)</f>
        <v>0.24861878453038674</v>
      </c>
      <c r="E33" s="250">
        <f>Y33/P33</f>
        <v>0.2459546925566343</v>
      </c>
      <c r="F33" s="250">
        <f>(T33+U33+V33)/S33</f>
        <v>0.25490196078431371</v>
      </c>
      <c r="G33" s="250">
        <f>(Y33+R33)/P33</f>
        <v>0.31067961165048541</v>
      </c>
      <c r="H33" s="250">
        <f>(Y33/Q33)+((S33+W33+Z33)/(Q33+W33+Z33+AB33))</f>
        <v>0.49122446181269708</v>
      </c>
      <c r="I33" s="250">
        <f>V33/Y33</f>
        <v>7.8947368421052627E-2</v>
      </c>
      <c r="J33" s="250">
        <f>(AA33+AB33)/Y33</f>
        <v>6.5789473684210523E-2</v>
      </c>
      <c r="K33" s="250">
        <f>X33/P33</f>
        <v>0.32686084142394822</v>
      </c>
      <c r="L33" s="250">
        <f>(W33+Z33)/P33</f>
        <v>5.8252427184466021E-2</v>
      </c>
      <c r="M33" s="260">
        <f>(1-D33*0.7635+1-E33*0.7562+1-F33*0.75+1-G33*0.7248+1-H33*0.7021+1-I33*0.6285+J33*0.5884+K33*0.5276+1-L33*0.3663)/11.068</f>
        <v>0.54238786527550453</v>
      </c>
      <c r="N33" s="266">
        <f>M33/0.4986*100</f>
        <v>108.78216311181399</v>
      </c>
      <c r="O33" s="264">
        <f>(N33-100)/100*P33*0.6611</f>
        <v>17.940194022650498</v>
      </c>
      <c r="P33" s="276">
        <v>309</v>
      </c>
      <c r="Q33" s="276">
        <f>P33-W33-Z33-AA33-AB33</f>
        <v>286</v>
      </c>
      <c r="R33" s="276">
        <v>20</v>
      </c>
      <c r="S33" s="276">
        <v>51</v>
      </c>
      <c r="T33" s="276">
        <v>7</v>
      </c>
      <c r="U33" s="276">
        <v>0</v>
      </c>
      <c r="V33" s="276">
        <v>6</v>
      </c>
      <c r="W33" s="276">
        <v>17</v>
      </c>
      <c r="X33" s="277">
        <v>101</v>
      </c>
      <c r="Y33" s="276">
        <f>S33+T33+U33*2+V33*3</f>
        <v>76</v>
      </c>
      <c r="Z33" s="276">
        <v>1</v>
      </c>
      <c r="AA33" s="276">
        <v>3</v>
      </c>
      <c r="AB33" s="276">
        <v>2</v>
      </c>
      <c r="AC33" s="9"/>
      <c r="AD33" s="6">
        <v>1990</v>
      </c>
      <c r="AE33" s="86">
        <v>0.49849602073093108</v>
      </c>
      <c r="AF33" s="9"/>
    </row>
    <row r="34" spans="1:32" x14ac:dyDescent="0.2">
      <c r="A34" s="9"/>
      <c r="B34" s="251">
        <v>2011</v>
      </c>
      <c r="C34" s="259" t="s">
        <v>481</v>
      </c>
      <c r="D34" s="250">
        <f>(S34-V34)/(Q34-V34-X34+AB34)</f>
        <v>0.29100529100529099</v>
      </c>
      <c r="E34" s="250">
        <f>Y34/P34</f>
        <v>0.25573770491803277</v>
      </c>
      <c r="F34" s="250">
        <f>(T34+U34+V34)/S34</f>
        <v>0.15254237288135594</v>
      </c>
      <c r="G34" s="250">
        <f>(Y34+R34)/P34</f>
        <v>0.31803278688524589</v>
      </c>
      <c r="H34" s="250">
        <f>(Y34/Q34)+((S34+W34+Z34)/(Q34+W34+Z34+AB34))</f>
        <v>0.55689132904202954</v>
      </c>
      <c r="I34" s="250">
        <f>V34/Y34</f>
        <v>5.128205128205128E-2</v>
      </c>
      <c r="J34" s="250">
        <f>(AA34+AB34)/Y34</f>
        <v>2.564102564102564E-2</v>
      </c>
      <c r="K34" s="250">
        <f>X34/P34</f>
        <v>0.28196721311475409</v>
      </c>
      <c r="L34" s="250">
        <f>(W34+Z34)/P34</f>
        <v>8.1967213114754092E-2</v>
      </c>
      <c r="M34" s="260">
        <f>(1-D34*0.7635+1-E34*0.7562+1-F34*0.75+1-G34*0.7248+1-H34*0.7021+1-I34*0.6285+J34*0.5884+K34*0.5276+1-L34*0.3663)/11.068</f>
        <v>0.537596312240189</v>
      </c>
      <c r="N34" s="266">
        <f>M34/0.4939*100</f>
        <v>108.84719826689391</v>
      </c>
      <c r="O34" s="264">
        <f>(N34-100)/100*P34*0.6611</f>
        <v>17.839092461442874</v>
      </c>
      <c r="P34" s="276">
        <v>305</v>
      </c>
      <c r="Q34" s="276">
        <f>P34-W34-Z34-AA34-AB34</f>
        <v>278</v>
      </c>
      <c r="R34" s="276">
        <v>19</v>
      </c>
      <c r="S34" s="276">
        <v>59</v>
      </c>
      <c r="T34" s="276">
        <v>3</v>
      </c>
      <c r="U34" s="276">
        <v>2</v>
      </c>
      <c r="V34" s="276">
        <v>4</v>
      </c>
      <c r="W34" s="276">
        <v>25</v>
      </c>
      <c r="X34" s="277">
        <v>86</v>
      </c>
      <c r="Y34" s="276">
        <f>S34+T34+U34*2+V34*3</f>
        <v>78</v>
      </c>
      <c r="Z34" s="276">
        <v>0</v>
      </c>
      <c r="AA34" s="276">
        <v>1</v>
      </c>
      <c r="AB34" s="276">
        <v>1</v>
      </c>
      <c r="AC34" s="9"/>
      <c r="AD34" s="6">
        <v>1989</v>
      </c>
      <c r="AE34" s="86">
        <v>0.50191343303830815</v>
      </c>
      <c r="AF34" s="9"/>
    </row>
    <row r="35" spans="1:32" x14ac:dyDescent="0.2">
      <c r="A35" s="9"/>
      <c r="B35" s="251">
        <v>2014</v>
      </c>
      <c r="C35" s="259" t="s">
        <v>478</v>
      </c>
      <c r="D35" s="250">
        <f>(S35-V35)/(Q35-V35-X35+AB35)</f>
        <v>0.26984126984126983</v>
      </c>
      <c r="E35" s="250">
        <f>Y35/P35</f>
        <v>0.21249999999999999</v>
      </c>
      <c r="F35" s="250">
        <f>(T35+U35+V35)/S35</f>
        <v>0.21621621621621623</v>
      </c>
      <c r="G35" s="250">
        <f>(Y35+R35)/P35</f>
        <v>0.26666666666666666</v>
      </c>
      <c r="H35" s="250">
        <f>(Y35/Q35)+((S35+W35+Z35)/(Q35+W35+Z35+AB35))</f>
        <v>0.4724386779778128</v>
      </c>
      <c r="I35" s="250">
        <f>V35/Y35</f>
        <v>5.8823529411764705E-2</v>
      </c>
      <c r="J35" s="250">
        <f>(AA35+AB35)/Y35</f>
        <v>3.9215686274509803E-2</v>
      </c>
      <c r="K35" s="250">
        <f>X35/P35</f>
        <v>0.375</v>
      </c>
      <c r="L35" s="250">
        <f>(W35+Z35)/P35</f>
        <v>8.3333333333333329E-2</v>
      </c>
      <c r="M35" s="260">
        <f>(1-D35*0.7635+1-E35*0.7562+1-F35*0.75+1-G35*0.7248+1-H35*0.7021+1-I35*0.6285+J35*0.5884+K35*0.5276+1-L35*0.3663)/11.068</f>
        <v>0.55109967962363871</v>
      </c>
      <c r="N35" s="266">
        <f>M35/0.4981*100</f>
        <v>110.6403693281748</v>
      </c>
      <c r="O35" s="264">
        <f>(N35-100)/100*P35*0.6611</f>
        <v>16.882435590855263</v>
      </c>
      <c r="P35" s="276">
        <v>240</v>
      </c>
      <c r="Q35" s="276">
        <f>P35-W35-Z35-AA35-AB35</f>
        <v>218</v>
      </c>
      <c r="R35" s="276">
        <v>13</v>
      </c>
      <c r="S35" s="276">
        <v>37</v>
      </c>
      <c r="T35" s="276">
        <v>5</v>
      </c>
      <c r="U35" s="276">
        <v>0</v>
      </c>
      <c r="V35" s="276">
        <v>3</v>
      </c>
      <c r="W35" s="276">
        <v>20</v>
      </c>
      <c r="X35" s="277">
        <v>90</v>
      </c>
      <c r="Y35" s="276">
        <f>S35+T35+U35*2+V35*3</f>
        <v>51</v>
      </c>
      <c r="Z35" s="276">
        <v>0</v>
      </c>
      <c r="AA35" s="276">
        <v>1</v>
      </c>
      <c r="AB35" s="276">
        <v>1</v>
      </c>
      <c r="AC35" s="9"/>
      <c r="AD35" s="6">
        <v>1988</v>
      </c>
      <c r="AE35" s="86">
        <v>0.50115522858787109</v>
      </c>
      <c r="AF35" s="9"/>
    </row>
    <row r="36" spans="1:32" x14ac:dyDescent="0.2">
      <c r="A36" s="9"/>
      <c r="B36" s="251">
        <v>2018</v>
      </c>
      <c r="C36" s="259" t="s">
        <v>472</v>
      </c>
      <c r="D36" s="250">
        <f>(S36-V36)/(Q36-V36-X36+AB36)</f>
        <v>0.21951219512195122</v>
      </c>
      <c r="E36" s="250">
        <f>Y36/P36</f>
        <v>0.23529411764705882</v>
      </c>
      <c r="F36" s="250">
        <f>(T36+U36+V36)/S36</f>
        <v>0.47222222222222221</v>
      </c>
      <c r="G36" s="250">
        <f>(Y36+R36)/P36</f>
        <v>0.31045751633986929</v>
      </c>
      <c r="H36" s="250">
        <f>(Y36/Q36)+((S36+W36+Z36)/(Q36+W36+Z36+AB36))</f>
        <v>0.48077243018419491</v>
      </c>
      <c r="I36" s="250">
        <f>V36/Y36</f>
        <v>0.125</v>
      </c>
      <c r="J36" s="250">
        <f>(AA36+AB36)/Y36</f>
        <v>0</v>
      </c>
      <c r="K36" s="250">
        <f>X36/P36</f>
        <v>0.4673202614379085</v>
      </c>
      <c r="L36" s="250">
        <f>(W36+Z36)/P36</f>
        <v>0.10130718954248366</v>
      </c>
      <c r="M36" s="260">
        <f>(1-D36*0.7635+1-E36*0.7562+1-F36*0.75+1-G36*0.7248+1-H36*0.7021+1-I36*0.6285+J36*0.5884+K36*0.5276+1-L36*0.3663)/11.068</f>
        <v>0.53023340042670641</v>
      </c>
      <c r="N36" s="266">
        <f>M36/0.4898*100</f>
        <v>108.25508379475426</v>
      </c>
      <c r="O36" s="264">
        <f>(N36-100)/100*P36*0.6611</f>
        <v>16.69975384393884</v>
      </c>
      <c r="P36" s="276">
        <v>306</v>
      </c>
      <c r="Q36" s="276">
        <f>P36-W36-Z36-AA36-AB36</f>
        <v>275</v>
      </c>
      <c r="R36" s="276">
        <v>23</v>
      </c>
      <c r="S36" s="276">
        <v>36</v>
      </c>
      <c r="T36" s="276">
        <v>7</v>
      </c>
      <c r="U36" s="276">
        <v>1</v>
      </c>
      <c r="V36" s="276">
        <v>9</v>
      </c>
      <c r="W36" s="276">
        <v>30</v>
      </c>
      <c r="X36" s="277">
        <v>143</v>
      </c>
      <c r="Y36" s="276">
        <f>S36+T36+U36*2+V36*3</f>
        <v>72</v>
      </c>
      <c r="Z36" s="276">
        <v>1</v>
      </c>
      <c r="AA36" s="276">
        <v>0</v>
      </c>
      <c r="AB36" s="276">
        <v>0</v>
      </c>
      <c r="AC36" s="9"/>
      <c r="AD36" s="6">
        <v>1987</v>
      </c>
      <c r="AE36" s="86">
        <v>0.48872741920368279</v>
      </c>
      <c r="AF36" s="9"/>
    </row>
    <row r="37" spans="1:32" x14ac:dyDescent="0.2">
      <c r="A37" s="9"/>
      <c r="B37" s="251">
        <v>1990</v>
      </c>
      <c r="C37" s="259" t="s">
        <v>505</v>
      </c>
      <c r="D37" s="250">
        <f>(S37-V37)/(Q37-V37-X37+AB37)</f>
        <v>0.23404255319148937</v>
      </c>
      <c r="E37" s="250">
        <f>Y37/P37</f>
        <v>0.25072046109510088</v>
      </c>
      <c r="F37" s="250">
        <f>(T37+U37+V37)/S37</f>
        <v>0.25</v>
      </c>
      <c r="G37" s="250">
        <f>(Y37+R37)/P37</f>
        <v>0.30835734870317005</v>
      </c>
      <c r="H37" s="250">
        <f>(Y37/Q37)+((S37+W37+Z37)/(Q37+W37+Z37+AB37))</f>
        <v>0.55452464838890414</v>
      </c>
      <c r="I37" s="250">
        <f>V37/Y37</f>
        <v>5.7471264367816091E-2</v>
      </c>
      <c r="J37" s="250">
        <f>(AA37+AB37)/Y37</f>
        <v>8.0459770114942528E-2</v>
      </c>
      <c r="K37" s="250">
        <f>X37/P37</f>
        <v>0.20172910662824209</v>
      </c>
      <c r="L37" s="250">
        <f>(W37+Z37)/P37</f>
        <v>9.5100864553314124E-2</v>
      </c>
      <c r="M37" s="260">
        <f>(1-D37*0.7635+1-E37*0.7562+1-F37*0.75+1-G37*0.7248+1-H37*0.7021+1-I37*0.6285+J37*0.5884+K37*0.5276+1-L37*0.3663)/11.068</f>
        <v>0.53435157255474497</v>
      </c>
      <c r="N37" s="266">
        <f>M37/0.4985*100</f>
        <v>107.19189018149346</v>
      </c>
      <c r="O37" s="264">
        <f>(N37-100)/100*P37*0.6611</f>
        <v>16.498318338479091</v>
      </c>
      <c r="P37" s="276">
        <v>347</v>
      </c>
      <c r="Q37" s="276">
        <f>P37-W37-Z37-AA37-AB37</f>
        <v>307</v>
      </c>
      <c r="R37" s="276">
        <v>20</v>
      </c>
      <c r="S37" s="276">
        <v>60</v>
      </c>
      <c r="T37" s="276">
        <v>8</v>
      </c>
      <c r="U37" s="276">
        <v>2</v>
      </c>
      <c r="V37" s="276">
        <v>5</v>
      </c>
      <c r="W37" s="276">
        <v>32</v>
      </c>
      <c r="X37" s="277">
        <v>70</v>
      </c>
      <c r="Y37" s="276">
        <f>S37+T37+U37*2+V37*3</f>
        <v>87</v>
      </c>
      <c r="Z37" s="276">
        <v>1</v>
      </c>
      <c r="AA37" s="276">
        <v>4</v>
      </c>
      <c r="AB37" s="276">
        <v>3</v>
      </c>
      <c r="AC37" s="9"/>
      <c r="AD37" s="6">
        <v>1986</v>
      </c>
      <c r="AE37" s="86">
        <v>0.49528664452020466</v>
      </c>
      <c r="AF37" s="9"/>
    </row>
    <row r="38" spans="1:32" x14ac:dyDescent="0.2">
      <c r="A38" s="9"/>
      <c r="B38" s="251">
        <v>2005</v>
      </c>
      <c r="C38" s="259" t="s">
        <v>488</v>
      </c>
      <c r="D38" s="250">
        <f>(S38-V38)/(Q38-V38-X38+AB38)</f>
        <v>0.22009569377990432</v>
      </c>
      <c r="E38" s="250">
        <f>Y38/P38</f>
        <v>0.28333333333333333</v>
      </c>
      <c r="F38" s="250">
        <f>(T38+U38+V38)/S38</f>
        <v>0.21818181818181817</v>
      </c>
      <c r="G38" s="250">
        <f>(Y38+R38)/P38</f>
        <v>0.36333333333333334</v>
      </c>
      <c r="H38" s="250">
        <f>(Y38/Q38)+((S38+W38+Z38)/(Q38+W38+Z38+AB38))</f>
        <v>0.55407754333445991</v>
      </c>
      <c r="I38" s="250">
        <f>V38/Y38</f>
        <v>0.10588235294117647</v>
      </c>
      <c r="J38" s="250">
        <f>(AA38+AB38)/Y38</f>
        <v>3.5294117647058823E-2</v>
      </c>
      <c r="K38" s="250">
        <f>X38/P38</f>
        <v>0.20333333333333334</v>
      </c>
      <c r="L38" s="250">
        <f>(W38+Z38)/P38</f>
        <v>6.3333333333333339E-2</v>
      </c>
      <c r="M38" s="260">
        <f>(1-D38*0.7635+1-E38*0.7562+1-F38*0.75+1-G38*0.7248+1-H38*0.7021+1-I38*0.6285+J38*0.5884+K38*0.5276+1-L38*0.3663)/11.068</f>
        <v>0.52764742780877805</v>
      </c>
      <c r="N38" s="266">
        <f>M38/0.4873*100</f>
        <v>108.27979228581532</v>
      </c>
      <c r="O38" s="264">
        <f>(N38-100)/100*P38*0.6611</f>
        <v>16.421312040457522</v>
      </c>
      <c r="P38" s="276">
        <v>300</v>
      </c>
      <c r="Q38" s="276">
        <f>P38-W38-Z38-AA38-AB38</f>
        <v>278</v>
      </c>
      <c r="R38" s="276">
        <v>24</v>
      </c>
      <c r="S38" s="276">
        <v>55</v>
      </c>
      <c r="T38" s="276">
        <v>3</v>
      </c>
      <c r="U38" s="276">
        <v>0</v>
      </c>
      <c r="V38" s="276">
        <v>9</v>
      </c>
      <c r="W38" s="276">
        <v>17</v>
      </c>
      <c r="X38" s="277">
        <v>61</v>
      </c>
      <c r="Y38" s="276">
        <f>S38+T38+U38*2+V38*3</f>
        <v>85</v>
      </c>
      <c r="Z38" s="276">
        <v>2</v>
      </c>
      <c r="AA38" s="276">
        <v>2</v>
      </c>
      <c r="AB38" s="276">
        <v>1</v>
      </c>
      <c r="AC38" s="9"/>
      <c r="AD38" s="6">
        <v>1985</v>
      </c>
      <c r="AE38" s="86">
        <v>0.49642608615742362</v>
      </c>
      <c r="AF38" s="9"/>
    </row>
    <row r="39" spans="1:32" x14ac:dyDescent="0.2">
      <c r="A39" s="9"/>
      <c r="B39" s="251">
        <v>1985</v>
      </c>
      <c r="C39" s="259" t="s">
        <v>511</v>
      </c>
      <c r="D39" s="250">
        <f>(S39-V39)/(Q39-V39-X39+AB39)</f>
        <v>0.24206349206349206</v>
      </c>
      <c r="E39" s="250">
        <f>Y39/P39</f>
        <v>0.2696629213483146</v>
      </c>
      <c r="F39" s="250">
        <f>(T39+U39+V39)/S39</f>
        <v>0.19117647058823528</v>
      </c>
      <c r="G39" s="250">
        <f>(Y39+R39)/P39</f>
        <v>0.35674157303370785</v>
      </c>
      <c r="H39" s="250">
        <f>(Y39/Q39)+((S39+W39+Z39)/(Q39+W39+Z39+AB39))</f>
        <v>0.56450642841577681</v>
      </c>
      <c r="I39" s="250">
        <f>V39/Y39</f>
        <v>7.2916666666666671E-2</v>
      </c>
      <c r="J39" s="250">
        <f>(AA39+AB39)/Y39</f>
        <v>4.1666666666666664E-2</v>
      </c>
      <c r="K39" s="250">
        <f>X39/P39</f>
        <v>0.18820224719101122</v>
      </c>
      <c r="L39" s="250">
        <f>(W39+Z39)/P39</f>
        <v>7.5842696629213488E-2</v>
      </c>
      <c r="M39" s="260">
        <f>(1-D39*0.7635+1-E39*0.7562+1-F39*0.75+1-G39*0.7248+1-H39*0.7021+1-I39*0.6285+J39*0.5884+K39*0.5276+1-L39*0.3663)/11.068</f>
        <v>0.52974156864190169</v>
      </c>
      <c r="N39" s="266">
        <f>M39/0.4964*100</f>
        <v>106.71667377959342</v>
      </c>
      <c r="O39" s="264">
        <f>(N39-100)/100*P39*0.6611</f>
        <v>15.807799207053591</v>
      </c>
      <c r="P39" s="276">
        <v>356</v>
      </c>
      <c r="Q39" s="276">
        <f>P39-W39-Z39-AA39-AB39</f>
        <v>325</v>
      </c>
      <c r="R39" s="276">
        <v>31</v>
      </c>
      <c r="S39" s="276">
        <v>68</v>
      </c>
      <c r="T39" s="276">
        <v>5</v>
      </c>
      <c r="U39" s="276">
        <v>1</v>
      </c>
      <c r="V39" s="276">
        <v>7</v>
      </c>
      <c r="W39" s="276">
        <v>26</v>
      </c>
      <c r="X39" s="277">
        <v>67</v>
      </c>
      <c r="Y39" s="276">
        <f>S39+T39+U39*2+V39*3</f>
        <v>96</v>
      </c>
      <c r="Z39" s="276">
        <v>1</v>
      </c>
      <c r="AA39" s="276">
        <v>3</v>
      </c>
      <c r="AB39" s="276">
        <v>1</v>
      </c>
      <c r="AC39" s="9"/>
      <c r="AD39" s="6">
        <v>1984</v>
      </c>
      <c r="AE39" s="86">
        <v>0.49899874590538768</v>
      </c>
      <c r="AF39" s="9"/>
    </row>
    <row r="40" spans="1:32" x14ac:dyDescent="0.2">
      <c r="A40" s="9"/>
      <c r="B40" s="251">
        <v>2009</v>
      </c>
      <c r="C40" s="259" t="s">
        <v>483</v>
      </c>
      <c r="D40" s="250">
        <f>(S40-V40)/(Q40-V40-X40+AB40)</f>
        <v>0.29651162790697677</v>
      </c>
      <c r="E40" s="250">
        <f>Y40/P40</f>
        <v>0.26258992805755393</v>
      </c>
      <c r="F40" s="250">
        <f>(T40+U40+V40)/S40</f>
        <v>0.22222222222222221</v>
      </c>
      <c r="G40" s="250">
        <f>(Y40+R40)/P40</f>
        <v>0.33812949640287771</v>
      </c>
      <c r="H40" s="250">
        <f>(Y40/Q40)+((S40+W40+Z40)/(Q40+W40+Z40+AB40))</f>
        <v>0.5679771143714949</v>
      </c>
      <c r="I40" s="250">
        <f>V40/Y40</f>
        <v>4.1095890410958902E-2</v>
      </c>
      <c r="J40" s="250">
        <f>(AA40+AB40)/Y40</f>
        <v>0</v>
      </c>
      <c r="K40" s="250">
        <f>X40/P40</f>
        <v>0.28417266187050361</v>
      </c>
      <c r="L40" s="250">
        <f>(W40+Z40)/P40</f>
        <v>8.6330935251798566E-2</v>
      </c>
      <c r="M40" s="260">
        <f>(1-D40*0.7635+1-E40*0.7562+1-F40*0.75+1-G40*0.7248+1-H40*0.7021+1-I40*0.6285+J40*0.5884+K40*0.5276+1-L40*0.3663)/11.068</f>
        <v>0.52918331392600826</v>
      </c>
      <c r="N40" s="266">
        <f>M40/0.4877*100</f>
        <v>108.50590812507859</v>
      </c>
      <c r="O40" s="264">
        <f>(N40-100)/100*P40*0.6611</f>
        <v>15.632651294940691</v>
      </c>
      <c r="P40" s="276">
        <v>278</v>
      </c>
      <c r="Q40" s="276">
        <f>P40-W40-Z40-AA40-AB40</f>
        <v>254</v>
      </c>
      <c r="R40" s="276">
        <v>21</v>
      </c>
      <c r="S40" s="276">
        <v>54</v>
      </c>
      <c r="T40" s="276">
        <v>8</v>
      </c>
      <c r="U40" s="276">
        <v>1</v>
      </c>
      <c r="V40" s="276">
        <v>3</v>
      </c>
      <c r="W40" s="276">
        <v>24</v>
      </c>
      <c r="X40" s="277">
        <v>79</v>
      </c>
      <c r="Y40" s="276">
        <f>S40+T40+U40*2+V40*3</f>
        <v>73</v>
      </c>
      <c r="Z40" s="276">
        <v>0</v>
      </c>
      <c r="AA40" s="276">
        <v>0</v>
      </c>
      <c r="AB40" s="276">
        <v>0</v>
      </c>
      <c r="AC40" s="9"/>
      <c r="AD40" s="6">
        <v>1983</v>
      </c>
      <c r="AE40" s="86">
        <v>0.49727248155757864</v>
      </c>
      <c r="AF40" s="9"/>
    </row>
    <row r="41" spans="1:32" x14ac:dyDescent="0.2">
      <c r="A41" s="9"/>
      <c r="B41" s="251">
        <v>2012</v>
      </c>
      <c r="C41" s="259" t="s">
        <v>479</v>
      </c>
      <c r="D41" s="250">
        <f>(S41-V41)/(Q41-V41-X41+AB41)</f>
        <v>0.25242718446601942</v>
      </c>
      <c r="E41" s="250">
        <f>Y41/P41</f>
        <v>0.26394052044609667</v>
      </c>
      <c r="F41" s="250">
        <f>(T41+U41+V41)/S41</f>
        <v>0.18181818181818182</v>
      </c>
      <c r="G41" s="250">
        <f>(Y41+R41)/P41</f>
        <v>0.34200743494423791</v>
      </c>
      <c r="H41" s="250">
        <f>(Y41/Q41)+((S41+W41+Z41)/(Q41+W41+Z41+AB41))</f>
        <v>0.55638805970149252</v>
      </c>
      <c r="I41" s="250">
        <f>V41/Y41</f>
        <v>4.2253521126760563E-2</v>
      </c>
      <c r="J41" s="250">
        <f>(AA41+AB41)/Y41</f>
        <v>1.4084507042253521E-2</v>
      </c>
      <c r="K41" s="250">
        <f>X41/P41</f>
        <v>0.15241635687732341</v>
      </c>
      <c r="L41" s="250">
        <f>(W41+Z41)/P41</f>
        <v>6.6914498141263934E-2</v>
      </c>
      <c r="M41" s="260">
        <f>(1-D41*0.7635+1-E41*0.7562+1-F41*0.75+1-G41*0.7248+1-H41*0.7021+1-I41*0.6285+J41*0.5884+K41*0.5276+1-L41*0.3663)/11.068</f>
        <v>0.53039613446928469</v>
      </c>
      <c r="N41" s="266">
        <f>M41/0.4876*100</f>
        <v>108.77689386162525</v>
      </c>
      <c r="O41" s="264">
        <f>(N41-100)/100*P41*0.6611</f>
        <v>15.608468190866025</v>
      </c>
      <c r="P41" s="276">
        <v>269</v>
      </c>
      <c r="Q41" s="276">
        <f>P41-W41-Z41-AA41-AB41</f>
        <v>250</v>
      </c>
      <c r="R41" s="276">
        <v>21</v>
      </c>
      <c r="S41" s="276">
        <v>55</v>
      </c>
      <c r="T41" s="276">
        <v>7</v>
      </c>
      <c r="U41" s="276">
        <v>0</v>
      </c>
      <c r="V41" s="276">
        <v>3</v>
      </c>
      <c r="W41" s="276">
        <v>15</v>
      </c>
      <c r="X41" s="277">
        <v>41</v>
      </c>
      <c r="Y41" s="276">
        <f>S41+T41+U41*2+V41*3</f>
        <v>71</v>
      </c>
      <c r="Z41" s="276">
        <v>3</v>
      </c>
      <c r="AA41" s="276">
        <v>1</v>
      </c>
      <c r="AB41" s="276">
        <v>0</v>
      </c>
      <c r="AC41" s="9"/>
      <c r="AD41" s="6">
        <v>1982</v>
      </c>
      <c r="AE41" s="86">
        <v>0.49781875453199681</v>
      </c>
      <c r="AF41" s="9"/>
    </row>
    <row r="42" spans="1:32" x14ac:dyDescent="0.2">
      <c r="A42" s="9"/>
      <c r="B42" s="251">
        <v>1996</v>
      </c>
      <c r="C42" s="259" t="s">
        <v>499</v>
      </c>
      <c r="D42" s="250">
        <f>(S42-V42)/(Q42-V42-X42+AB42)</f>
        <v>0.27167630057803466</v>
      </c>
      <c r="E42" s="250">
        <f>Y42/P42</f>
        <v>0.28472222222222221</v>
      </c>
      <c r="F42" s="250">
        <f>(T42+U42+V42)/S42</f>
        <v>0.25925925925925924</v>
      </c>
      <c r="G42" s="250">
        <f>(Y42+R42)/P42</f>
        <v>0.3576388888888889</v>
      </c>
      <c r="H42" s="250">
        <f>(Y42/Q42)+((S42+W42+Z42)/(Q42+W42+Z42+AB42))</f>
        <v>0.61542562145783064</v>
      </c>
      <c r="I42" s="250">
        <f>V42/Y42</f>
        <v>8.5365853658536592E-2</v>
      </c>
      <c r="J42" s="250">
        <f>(AA42+AB42)/Y42</f>
        <v>0.10975609756097561</v>
      </c>
      <c r="K42" s="250">
        <f>X42/P42</f>
        <v>0.2638888888888889</v>
      </c>
      <c r="L42" s="250">
        <f>(W42+Z42)/P42</f>
        <v>9.7222222222222224E-2</v>
      </c>
      <c r="M42" s="260">
        <f>(1-D42*0.7635+1-E42*0.7562+1-F42*0.75+1-G42*0.7248+1-H42*0.7021+1-I42*0.6285+J42*0.5884+K42*0.5276+1-L42*0.3663)/11.068</f>
        <v>0.52458078123290897</v>
      </c>
      <c r="N42" s="266">
        <f>M42/0.4852*100</f>
        <v>108.11640173802739</v>
      </c>
      <c r="O42" s="264">
        <f>(N42-100)/100*P42*0.6611</f>
        <v>15.453369184348537</v>
      </c>
      <c r="P42" s="276">
        <v>288</v>
      </c>
      <c r="Q42" s="276">
        <f>P42-W42-Z42-AA42-AB42</f>
        <v>251</v>
      </c>
      <c r="R42" s="276">
        <v>21</v>
      </c>
      <c r="S42" s="276">
        <v>54</v>
      </c>
      <c r="T42" s="276">
        <v>7</v>
      </c>
      <c r="U42" s="276">
        <v>0</v>
      </c>
      <c r="V42" s="276">
        <v>7</v>
      </c>
      <c r="W42" s="276">
        <v>28</v>
      </c>
      <c r="X42" s="277">
        <v>76</v>
      </c>
      <c r="Y42" s="276">
        <f>S42+T42+U42*2+V42*3</f>
        <v>82</v>
      </c>
      <c r="Z42" s="276">
        <v>0</v>
      </c>
      <c r="AA42" s="276">
        <v>4</v>
      </c>
      <c r="AB42" s="276">
        <v>5</v>
      </c>
      <c r="AC42" s="9"/>
      <c r="AD42" s="6">
        <v>1981</v>
      </c>
      <c r="AE42" s="86">
        <v>0.50433127497667363</v>
      </c>
      <c r="AF42" s="9"/>
    </row>
    <row r="43" spans="1:32" x14ac:dyDescent="0.2">
      <c r="A43" s="9"/>
      <c r="B43" s="251">
        <v>1988</v>
      </c>
      <c r="C43" s="259" t="s">
        <v>75</v>
      </c>
      <c r="D43" s="250">
        <f>(S43-V43)/(Q43-V43-X43+AB43)</f>
        <v>0.24607329842931938</v>
      </c>
      <c r="E43" s="250">
        <f>Y43/P43</f>
        <v>0.25448028673835127</v>
      </c>
      <c r="F43" s="250">
        <f>(T43+U43+V43)/S43</f>
        <v>0.17307692307692307</v>
      </c>
      <c r="G43" s="250">
        <f>(Y43+R43)/P43</f>
        <v>0.32616487455197135</v>
      </c>
      <c r="H43" s="250">
        <f>(Y43/Q43)+((S43+W43+Z43)/(Q43+W43+Z43+AB43))</f>
        <v>0.50017780452444127</v>
      </c>
      <c r="I43" s="250">
        <f>V43/Y43</f>
        <v>7.0422535211267609E-2</v>
      </c>
      <c r="J43" s="250">
        <f>(AA43+AB43)/Y43</f>
        <v>5.6338028169014086E-2</v>
      </c>
      <c r="K43" s="250">
        <f>X43/P43</f>
        <v>0.25089605734767023</v>
      </c>
      <c r="L43" s="250">
        <f>(W43+Z43)/P43</f>
        <v>4.3010752688172046E-2</v>
      </c>
      <c r="M43" s="260">
        <f>(1-D43*0.7635+1-E43*0.7562+1-F43*0.75+1-G43*0.7248+1-H43*0.7021+1-I43*0.6285+J43*0.5884+K43*0.5276+1-L43*0.3663)/11.068</f>
        <v>0.54280853518426297</v>
      </c>
      <c r="N43" s="266">
        <f>M43/0.5012*100</f>
        <v>108.30178275823283</v>
      </c>
      <c r="O43" s="264">
        <f>(N43-100)/100*P43*0.6611</f>
        <v>15.312380942294956</v>
      </c>
      <c r="P43" s="276">
        <v>279</v>
      </c>
      <c r="Q43" s="276">
        <f>P43-W43-Z43-AA43-AB43</f>
        <v>263</v>
      </c>
      <c r="R43" s="276">
        <v>20</v>
      </c>
      <c r="S43" s="276">
        <v>52</v>
      </c>
      <c r="T43" s="276">
        <v>4</v>
      </c>
      <c r="U43" s="276">
        <v>0</v>
      </c>
      <c r="V43" s="276">
        <v>5</v>
      </c>
      <c r="W43" s="276">
        <v>11</v>
      </c>
      <c r="X43" s="277">
        <v>70</v>
      </c>
      <c r="Y43" s="276">
        <f>S43+T43+U43*2+V43*3</f>
        <v>71</v>
      </c>
      <c r="Z43" s="276">
        <v>1</v>
      </c>
      <c r="AA43" s="276">
        <v>1</v>
      </c>
      <c r="AB43" s="276">
        <v>3</v>
      </c>
      <c r="AC43" s="9"/>
      <c r="AD43" s="6">
        <v>1980</v>
      </c>
      <c r="AE43" s="86">
        <v>0.49843234520976093</v>
      </c>
      <c r="AF43" s="9"/>
    </row>
    <row r="44" spans="1:32" x14ac:dyDescent="0.2">
      <c r="A44" s="9"/>
      <c r="B44" s="251">
        <v>2010</v>
      </c>
      <c r="C44" s="259" t="s">
        <v>483</v>
      </c>
      <c r="D44" s="250">
        <f>(S44-V44)/(Q44-V44-X44+AB44)</f>
        <v>0.32934131736526945</v>
      </c>
      <c r="E44" s="250">
        <f>Y44/P44</f>
        <v>0.25087108013937282</v>
      </c>
      <c r="F44" s="250">
        <f>(T44+U44+V44)/S44</f>
        <v>0.25</v>
      </c>
      <c r="G44" s="250">
        <f>(Y44+R44)/P44</f>
        <v>0.31010452961672474</v>
      </c>
      <c r="H44" s="250">
        <f>(Y44/Q44)+((S44+W44+Z44)/(Q44+W44+Z44+AB44))</f>
        <v>0.58493833712761356</v>
      </c>
      <c r="I44" s="250">
        <f>V44/Y44</f>
        <v>1.3888888888888888E-2</v>
      </c>
      <c r="J44" s="250">
        <f>(AA44+AB44)/Y44</f>
        <v>6.9444444444444448E-2</v>
      </c>
      <c r="K44" s="250">
        <f>X44/P44</f>
        <v>0.29965156794425085</v>
      </c>
      <c r="L44" s="250">
        <f>(W44+Z44)/P44</f>
        <v>0.10104529616724739</v>
      </c>
      <c r="M44" s="260">
        <f>(1-D44*0.7635+1-E44*0.7562+1-F44*0.75+1-G44*0.7248+1-H44*0.7021+1-I44*0.6285+J44*0.5884+K44*0.5276+1-L44*0.3663)/11.068</f>
        <v>0.53208397574381028</v>
      </c>
      <c r="N44" s="266">
        <f>M44/0.4924*100</f>
        <v>108.05929645487618</v>
      </c>
      <c r="O44" s="264">
        <f>(N44-100)/100*P44*0.6611</f>
        <v>15.291362543734499</v>
      </c>
      <c r="P44" s="276">
        <v>287</v>
      </c>
      <c r="Q44" s="276">
        <f>P44-W44-Z44-AA44-AB44</f>
        <v>253</v>
      </c>
      <c r="R44" s="276">
        <v>17</v>
      </c>
      <c r="S44" s="276">
        <v>56</v>
      </c>
      <c r="T44" s="276">
        <v>13</v>
      </c>
      <c r="U44" s="276">
        <v>0</v>
      </c>
      <c r="V44" s="276">
        <v>1</v>
      </c>
      <c r="W44" s="276">
        <v>28</v>
      </c>
      <c r="X44" s="277">
        <v>86</v>
      </c>
      <c r="Y44" s="276">
        <f>S44+T44+U44*2+V44*3</f>
        <v>72</v>
      </c>
      <c r="Z44" s="276">
        <v>1</v>
      </c>
      <c r="AA44" s="276">
        <v>4</v>
      </c>
      <c r="AB44" s="276">
        <v>1</v>
      </c>
      <c r="AC44" s="9"/>
      <c r="AD44" s="6">
        <v>1979</v>
      </c>
      <c r="AE44" s="86">
        <v>0.49513453071752056</v>
      </c>
      <c r="AF44" s="9"/>
    </row>
    <row r="45" spans="1:32" x14ac:dyDescent="0.2">
      <c r="A45" s="9"/>
      <c r="B45" s="251">
        <v>2002</v>
      </c>
      <c r="C45" s="259" t="s">
        <v>42</v>
      </c>
      <c r="D45" s="250">
        <f>(S45-V45)/(Q45-V45-X45+AB45)</f>
        <v>0.27638190954773867</v>
      </c>
      <c r="E45" s="250">
        <f>Y45/P45</f>
        <v>0.27707006369426751</v>
      </c>
      <c r="F45" s="250">
        <f>(T45+U45+V45)/S45</f>
        <v>0.30508474576271188</v>
      </c>
      <c r="G45" s="250">
        <f>(Y45+R45)/P45</f>
        <v>0.37261146496815284</v>
      </c>
      <c r="H45" s="250">
        <f>(Y45/Q45)+((S45+W45+Z45)/(Q45+W45+Z45+AB45))</f>
        <v>0.56916152952738319</v>
      </c>
      <c r="I45" s="250">
        <f>V45/Y45</f>
        <v>4.5977011494252873E-2</v>
      </c>
      <c r="J45" s="250">
        <f>(AA45+AB45)/Y45</f>
        <v>3.4482758620689655E-2</v>
      </c>
      <c r="K45" s="250">
        <f>X45/P45</f>
        <v>0.27070063694267515</v>
      </c>
      <c r="L45" s="250">
        <f>(W45+Z45)/P45</f>
        <v>7.6433121019108277E-2</v>
      </c>
      <c r="M45" s="260">
        <f>(1-D45*0.7635+1-E45*0.7562+1-F45*0.75+1-G45*0.7248+1-H45*0.7021+1-I45*0.6285+J45*0.5884+K45*0.5276+1-L45*0.3663)/11.068</f>
        <v>0.52287573890065986</v>
      </c>
      <c r="N45" s="266">
        <f>M45/0.4879*100</f>
        <v>107.16862859205982</v>
      </c>
      <c r="O45" s="264">
        <f>(N45-100)/100*P45*0.6611</f>
        <v>14.881026337341742</v>
      </c>
      <c r="P45" s="276">
        <v>314</v>
      </c>
      <c r="Q45" s="276">
        <f>P45-W45-Z45-AA45-AB45</f>
        <v>287</v>
      </c>
      <c r="R45" s="276">
        <v>30</v>
      </c>
      <c r="S45" s="276">
        <v>59</v>
      </c>
      <c r="T45" s="276">
        <v>12</v>
      </c>
      <c r="U45" s="276">
        <v>2</v>
      </c>
      <c r="V45" s="276">
        <v>4</v>
      </c>
      <c r="W45" s="276">
        <v>24</v>
      </c>
      <c r="X45" s="277">
        <v>85</v>
      </c>
      <c r="Y45" s="276">
        <f>S45+T45+U45*2+V45*3</f>
        <v>87</v>
      </c>
      <c r="Z45" s="276">
        <v>0</v>
      </c>
      <c r="AA45" s="276">
        <v>2</v>
      </c>
      <c r="AB45" s="276">
        <v>1</v>
      </c>
      <c r="AC45" s="9"/>
      <c r="AD45" s="6">
        <v>1978</v>
      </c>
      <c r="AE45" s="86">
        <v>0.50118704487110732</v>
      </c>
      <c r="AF45" s="9"/>
    </row>
    <row r="46" spans="1:32" x14ac:dyDescent="0.2">
      <c r="A46" s="9"/>
      <c r="B46" s="251">
        <v>1997</v>
      </c>
      <c r="C46" s="259" t="s">
        <v>497</v>
      </c>
      <c r="D46" s="250">
        <f>(S46-V46)/(Q46-V46-X46+AB46)</f>
        <v>0.26666666666666666</v>
      </c>
      <c r="E46" s="250">
        <f>Y46/P46</f>
        <v>0.31880108991825612</v>
      </c>
      <c r="F46" s="250">
        <f>(T46+U46+V46)/S46</f>
        <v>0.29113924050632911</v>
      </c>
      <c r="G46" s="250">
        <f>(Y46+R46)/P46</f>
        <v>0.38964577656675747</v>
      </c>
      <c r="H46" s="250">
        <f>(Y46/Q46)+((S46+W46+Z46)/(Q46+W46+Z46+AB46))</f>
        <v>0.58895414929897694</v>
      </c>
      <c r="I46" s="250">
        <f>V46/Y46</f>
        <v>5.9829059829059832E-2</v>
      </c>
      <c r="J46" s="250">
        <f>(AA46+AB46)/Y46</f>
        <v>5.128205128205128E-2</v>
      </c>
      <c r="K46" s="250">
        <f>X46/P46</f>
        <v>0.20163487738419619</v>
      </c>
      <c r="L46" s="250">
        <f>(W46+Z46)/P46</f>
        <v>3.5422343324250684E-2</v>
      </c>
      <c r="M46" s="260">
        <f>(1-D46*0.7635+1-E46*0.7562+1-F46*0.75+1-G46*0.7248+1-H46*0.7021+1-I46*0.6285+J46*0.5884+K46*0.5276+1-L46*0.3663)/11.068</f>
        <v>0.51744013102328279</v>
      </c>
      <c r="N46" s="266">
        <f>M46/0.4876*100</f>
        <v>106.11979717458631</v>
      </c>
      <c r="O46" s="264">
        <f>(N46-100)/100*P46*0.6611</f>
        <v>14.848078337476764</v>
      </c>
      <c r="P46" s="276">
        <v>367</v>
      </c>
      <c r="Q46" s="276">
        <f>P46-W46-Z46-AA46-AB46</f>
        <v>348</v>
      </c>
      <c r="R46" s="276">
        <v>26</v>
      </c>
      <c r="S46" s="276">
        <v>79</v>
      </c>
      <c r="T46" s="276">
        <v>15</v>
      </c>
      <c r="U46" s="276">
        <v>1</v>
      </c>
      <c r="V46" s="276">
        <v>7</v>
      </c>
      <c r="W46" s="276">
        <v>12</v>
      </c>
      <c r="X46" s="277">
        <v>74</v>
      </c>
      <c r="Y46" s="276">
        <f>S46+T46+U46*2+V46*3</f>
        <v>117</v>
      </c>
      <c r="Z46" s="276">
        <v>1</v>
      </c>
      <c r="AA46" s="276">
        <v>3</v>
      </c>
      <c r="AB46" s="276">
        <v>3</v>
      </c>
      <c r="AC46" s="9"/>
      <c r="AD46" s="6">
        <v>1977</v>
      </c>
      <c r="AE46" s="86">
        <v>0.49391685919899109</v>
      </c>
      <c r="AF46" s="9"/>
    </row>
    <row r="47" spans="1:32" x14ac:dyDescent="0.2">
      <c r="A47" s="9"/>
      <c r="B47" s="251">
        <v>1989</v>
      </c>
      <c r="C47" s="259" t="s">
        <v>442</v>
      </c>
      <c r="D47" s="250">
        <f>(S47-V47)/(Q47-V47-X47+AB47)</f>
        <v>0.25423728813559321</v>
      </c>
      <c r="E47" s="250">
        <f>Y47/P47</f>
        <v>0.26216216216216215</v>
      </c>
      <c r="F47" s="250">
        <f>(T47+U47+V47)/S47</f>
        <v>0.25757575757575757</v>
      </c>
      <c r="G47" s="250">
        <f>(Y47+R47)/P47</f>
        <v>0.31891891891891894</v>
      </c>
      <c r="H47" s="250">
        <f>(Y47/Q47)+((S47+W47+Z47)/(Q47+W47+Z47+AB47))</f>
        <v>0.5636941623317645</v>
      </c>
      <c r="I47" s="250">
        <f>V47/Y47</f>
        <v>6.1855670103092786E-2</v>
      </c>
      <c r="J47" s="250">
        <f>(AA47+AB47)/Y47</f>
        <v>7.2164948453608241E-2</v>
      </c>
      <c r="K47" s="250">
        <f>X47/P47</f>
        <v>0.24864864864864866</v>
      </c>
      <c r="L47" s="250">
        <f>(W47+Z47)/P47</f>
        <v>8.9189189189189194E-2</v>
      </c>
      <c r="M47" s="260">
        <f>(1-D47*0.7635+1-E47*0.7562+1-F47*0.75+1-G47*0.7248+1-H47*0.7021+1-I47*0.6285+J47*0.5884+K47*0.5276+1-L47*0.3663)/11.068</f>
        <v>0.53213240653518257</v>
      </c>
      <c r="N47" s="266">
        <f>M47/0.5019*100</f>
        <v>106.02359165873332</v>
      </c>
      <c r="O47" s="286">
        <f>(N47-100)/100*P47*0.6611</f>
        <v>14.734126848677821</v>
      </c>
      <c r="P47" s="261">
        <v>370</v>
      </c>
      <c r="Q47" s="261">
        <f>P47-W47-Z47-AA47-AB47</f>
        <v>330</v>
      </c>
      <c r="R47" s="261">
        <v>21</v>
      </c>
      <c r="S47" s="261">
        <v>66</v>
      </c>
      <c r="T47" s="261">
        <v>9</v>
      </c>
      <c r="U47" s="261">
        <v>2</v>
      </c>
      <c r="V47" s="261">
        <v>6</v>
      </c>
      <c r="W47" s="261">
        <v>31</v>
      </c>
      <c r="X47" s="261">
        <v>92</v>
      </c>
      <c r="Y47" s="261">
        <f>S47+T47+U47*2+V47*3</f>
        <v>97</v>
      </c>
      <c r="Z47" s="261">
        <v>2</v>
      </c>
      <c r="AA47" s="261">
        <v>3</v>
      </c>
      <c r="AB47" s="261">
        <v>4</v>
      </c>
      <c r="AC47" s="9"/>
      <c r="AD47" s="6">
        <v>1976</v>
      </c>
      <c r="AE47" s="86">
        <v>0.50722966123104052</v>
      </c>
      <c r="AF47" s="9"/>
    </row>
    <row r="48" spans="1:32" x14ac:dyDescent="0.2">
      <c r="A48" s="9"/>
      <c r="B48" s="251">
        <v>1997</v>
      </c>
      <c r="C48" s="259" t="s">
        <v>496</v>
      </c>
      <c r="D48" s="250">
        <f>(S48-V48)/(Q48-V48-X48+AB48)</f>
        <v>0.28301886792452829</v>
      </c>
      <c r="E48" s="250">
        <f>Y48/P48</f>
        <v>0.25726141078838172</v>
      </c>
      <c r="F48" s="250">
        <f>(T48+U48+V48)/S48</f>
        <v>0.21276595744680851</v>
      </c>
      <c r="G48" s="250">
        <f>(Y48+R48)/P48</f>
        <v>0.30705394190871371</v>
      </c>
      <c r="H48" s="250">
        <f>(Y48/Q48)+((S48+W48+Z48)/(Q48+W48+Z48+AB48))</f>
        <v>0.57441721458457851</v>
      </c>
      <c r="I48" s="250">
        <f>V48/Y48</f>
        <v>3.2258064516129031E-2</v>
      </c>
      <c r="J48" s="250">
        <f>(AA48+AB48)/Y48</f>
        <v>3.2258064516129031E-2</v>
      </c>
      <c r="K48" s="250">
        <f>X48/P48</f>
        <v>0.23236514522821577</v>
      </c>
      <c r="L48" s="250">
        <f>(W48+Z48)/P48</f>
        <v>9.1286307053941904E-2</v>
      </c>
      <c r="M48" s="260">
        <f>(1-D48*0.7635+1-E48*0.7562+1-F48*0.75+1-G48*0.7248+1-H48*0.7021+1-I48*0.6285+J48*0.5884+K48*0.5276+1-L48*0.3663)/11.068</f>
        <v>0.53232857353835616</v>
      </c>
      <c r="N48" s="266">
        <f>M48/0.4876*100</f>
        <v>109.17321032369898</v>
      </c>
      <c r="O48" s="264">
        <f>(N48-100)/100*P48*0.6611</f>
        <v>14.615226521443725</v>
      </c>
      <c r="P48" s="276">
        <v>241</v>
      </c>
      <c r="Q48" s="276">
        <f>P48-W48-Z48-AA48-AB48</f>
        <v>217</v>
      </c>
      <c r="R48" s="276">
        <v>12</v>
      </c>
      <c r="S48" s="276">
        <v>47</v>
      </c>
      <c r="T48" s="276">
        <v>7</v>
      </c>
      <c r="U48" s="276">
        <v>1</v>
      </c>
      <c r="V48" s="276">
        <v>2</v>
      </c>
      <c r="W48" s="276">
        <v>22</v>
      </c>
      <c r="X48" s="277">
        <v>56</v>
      </c>
      <c r="Y48" s="276">
        <f>S48+T48+U48*2+V48*3</f>
        <v>62</v>
      </c>
      <c r="Z48" s="276">
        <v>0</v>
      </c>
      <c r="AA48" s="276">
        <v>2</v>
      </c>
      <c r="AB48" s="276">
        <v>0</v>
      </c>
      <c r="AC48" s="9"/>
      <c r="AD48" s="39"/>
      <c r="AE48" s="39"/>
      <c r="AF48" s="9"/>
    </row>
    <row r="49" spans="1:31" x14ac:dyDescent="0.2">
      <c r="A49" s="9"/>
      <c r="B49" s="251">
        <v>1977</v>
      </c>
      <c r="C49" s="259" t="s">
        <v>514</v>
      </c>
      <c r="D49" s="250">
        <f>(S49-V49)/(Q49-V49-X49+AB49)</f>
        <v>0.26190476190476192</v>
      </c>
      <c r="E49" s="250">
        <f>Y49/P49</f>
        <v>0.30188679245283018</v>
      </c>
      <c r="F49" s="250">
        <f>(T49+U49+V49)/S49</f>
        <v>0.30357142857142855</v>
      </c>
      <c r="G49" s="250">
        <f>(Y49+R49)/P49</f>
        <v>0.38421955403087477</v>
      </c>
      <c r="H49" s="250">
        <f>(Y49/Q49)+((S49+W49+Z49)/(Q49+W49+Z49+AB49))</f>
        <v>0.66182372097909448</v>
      </c>
      <c r="I49" s="250">
        <f>V49/Y49</f>
        <v>7.3863636363636367E-2</v>
      </c>
      <c r="J49" s="250">
        <f>(AA49+AB49)/Y49</f>
        <v>9.6590909090909088E-2</v>
      </c>
      <c r="K49" s="250">
        <f>X49/P49</f>
        <v>0.19554030874785591</v>
      </c>
      <c r="L49" s="250">
        <f>(W49+Z49)/P49</f>
        <v>0.11149228130360206</v>
      </c>
      <c r="M49" s="260">
        <f>(1-D49*0.7635+1-E49*0.7562+1-F49*0.75+1-G49*0.7248+1-H49*0.7021+1-I49*0.6285+J49*0.5884+K49*0.5276+1-L49*0.3663)/11.068</f>
        <v>0.51261834322838074</v>
      </c>
      <c r="N49" s="266">
        <f>M49/0.4939*100</f>
        <v>103.78990549268691</v>
      </c>
      <c r="O49" s="264">
        <f>(N49-100)/100*P49*0.6611</f>
        <v>14.607103018685304</v>
      </c>
      <c r="P49" s="276">
        <v>583</v>
      </c>
      <c r="Q49" s="276">
        <f>P49-W49-Z49-AA49-AB49</f>
        <v>501</v>
      </c>
      <c r="R49" s="276">
        <v>48</v>
      </c>
      <c r="S49" s="276">
        <v>112</v>
      </c>
      <c r="T49" s="276">
        <v>17</v>
      </c>
      <c r="U49" s="276">
        <v>4</v>
      </c>
      <c r="V49" s="276">
        <v>13</v>
      </c>
      <c r="W49" s="276">
        <v>60</v>
      </c>
      <c r="X49" s="277">
        <v>114</v>
      </c>
      <c r="Y49" s="276">
        <f>S49+T49+U49*2+V49*3</f>
        <v>176</v>
      </c>
      <c r="Z49" s="276">
        <v>5</v>
      </c>
      <c r="AA49" s="276">
        <v>13</v>
      </c>
      <c r="AB49" s="276">
        <v>4</v>
      </c>
      <c r="AC49" s="9"/>
      <c r="AD49" s="37"/>
      <c r="AE49" s="88"/>
    </row>
    <row r="50" spans="1:31" x14ac:dyDescent="0.2">
      <c r="A50" s="9"/>
      <c r="B50" s="251">
        <v>2015</v>
      </c>
      <c r="C50" s="259" t="s">
        <v>477</v>
      </c>
      <c r="D50" s="250">
        <f>(S50-V50)/(Q50-V50-X50+AB50)</f>
        <v>0.25238095238095237</v>
      </c>
      <c r="E50" s="250">
        <f>Y50/P50</f>
        <v>0.27303754266211605</v>
      </c>
      <c r="F50" s="250">
        <f>(T50+U50+V50)/S50</f>
        <v>0.24561403508771928</v>
      </c>
      <c r="G50" s="250">
        <f>(Y50+R50)/P50</f>
        <v>0.34812286689419797</v>
      </c>
      <c r="H50" s="250">
        <f>(Y50/Q50)+((S50+W50+Z50)/(Q50+W50+Z50+AB50))</f>
        <v>0.54090909090909089</v>
      </c>
      <c r="I50" s="250">
        <f>V50/Y50</f>
        <v>0.05</v>
      </c>
      <c r="J50" s="250">
        <f>(AA50+AB50)/Y50</f>
        <v>2.5000000000000001E-2</v>
      </c>
      <c r="K50" s="250">
        <f>X50/P50</f>
        <v>0.21160409556313994</v>
      </c>
      <c r="L50" s="250">
        <f>(W50+Z50)/P50</f>
        <v>5.4607508532423209E-2</v>
      </c>
      <c r="M50" s="260">
        <f>(1-D50*0.7635+1-E50*0.7562+1-F50*0.75+1-G50*0.7248+1-H50*0.7021+1-I50*0.6285+J50*0.5884+K50*0.5276+1-L50*0.3663)/11.068</f>
        <v>0.52940535693637158</v>
      </c>
      <c r="N50" s="266">
        <f>M50/0.4923*100</f>
        <v>107.53714339556603</v>
      </c>
      <c r="O50" s="264">
        <f>(N50-100)/100*P50*0.6611</f>
        <v>14.599620111509505</v>
      </c>
      <c r="P50" s="276">
        <v>293</v>
      </c>
      <c r="Q50" s="276">
        <f>P50-W50-Z50-AA50-AB50</f>
        <v>275</v>
      </c>
      <c r="R50" s="276">
        <v>22</v>
      </c>
      <c r="S50" s="276">
        <v>57</v>
      </c>
      <c r="T50" s="276">
        <v>9</v>
      </c>
      <c r="U50" s="276">
        <v>1</v>
      </c>
      <c r="V50" s="276">
        <v>4</v>
      </c>
      <c r="W50" s="276">
        <v>14</v>
      </c>
      <c r="X50" s="277">
        <v>62</v>
      </c>
      <c r="Y50" s="276">
        <f>S50+T50+U50*2+V50*3</f>
        <v>80</v>
      </c>
      <c r="Z50" s="276">
        <v>2</v>
      </c>
      <c r="AA50" s="276">
        <v>1</v>
      </c>
      <c r="AB50" s="276">
        <v>1</v>
      </c>
      <c r="AC50" s="9"/>
      <c r="AD50" s="37"/>
      <c r="AE50" s="37"/>
    </row>
    <row r="51" spans="1:31" x14ac:dyDescent="0.2">
      <c r="A51" s="9"/>
      <c r="B51" s="251">
        <v>2011</v>
      </c>
      <c r="C51" s="259" t="s">
        <v>480</v>
      </c>
      <c r="D51" s="250">
        <f>(S51-V51)/(Q51-V51-X51+AB51)</f>
        <v>0.25</v>
      </c>
      <c r="E51" s="250">
        <f>Y51/P51</f>
        <v>0.24584717607973422</v>
      </c>
      <c r="F51" s="250">
        <f>(T51+U51+V51)/S51</f>
        <v>0.23076923076923078</v>
      </c>
      <c r="G51" s="250">
        <f>(Y51+R51)/P51</f>
        <v>0.31561461794019935</v>
      </c>
      <c r="H51" s="250">
        <f>(Y51/Q51)+((S51+W51+Z51)/(Q51+W51+Z51+AB51))</f>
        <v>0.58010161096785728</v>
      </c>
      <c r="I51" s="250">
        <f>V51/Y51</f>
        <v>6.7567567567567571E-2</v>
      </c>
      <c r="J51" s="250">
        <f>(AA51+AB51)/Y51</f>
        <v>2.7027027027027029E-2</v>
      </c>
      <c r="K51" s="250">
        <f>X51/P51</f>
        <v>0.2292358803986711</v>
      </c>
      <c r="L51" s="250">
        <f>(W51+Z51)/P51</f>
        <v>0.12292358803986711</v>
      </c>
      <c r="M51" s="260">
        <f>(1-D51*0.7635+1-E51*0.7562+1-F51*0.75+1-G51*0.7248+1-H51*0.7021+1-I51*0.6285+J51*0.5884+K51*0.5276+1-L51*0.3663)/11.068</f>
        <v>0.52976563542770283</v>
      </c>
      <c r="N51" s="266">
        <f>M51/0.4939*100</f>
        <v>107.26172007039945</v>
      </c>
      <c r="O51" s="264">
        <f>(N51-100)/100*P51*0.6611</f>
        <v>14.450176647008638</v>
      </c>
      <c r="P51" s="276">
        <v>301</v>
      </c>
      <c r="Q51" s="276">
        <f>P51-W51-Z51-AA51-AB51</f>
        <v>262</v>
      </c>
      <c r="R51" s="276">
        <v>21</v>
      </c>
      <c r="S51" s="276">
        <v>52</v>
      </c>
      <c r="T51" s="276">
        <v>7</v>
      </c>
      <c r="U51" s="276">
        <v>0</v>
      </c>
      <c r="V51" s="276">
        <v>5</v>
      </c>
      <c r="W51" s="276">
        <v>34</v>
      </c>
      <c r="X51" s="277">
        <v>69</v>
      </c>
      <c r="Y51" s="276">
        <f>S51+T51+U51*2+V51*3</f>
        <v>74</v>
      </c>
      <c r="Z51" s="276">
        <v>3</v>
      </c>
      <c r="AA51" s="276">
        <v>2</v>
      </c>
      <c r="AB51" s="276">
        <v>0</v>
      </c>
      <c r="AC51" s="9"/>
      <c r="AD51" s="37"/>
      <c r="AE51" s="37"/>
    </row>
    <row r="52" spans="1:31" x14ac:dyDescent="0.2">
      <c r="A52" s="9"/>
      <c r="B52" s="251">
        <v>1995</v>
      </c>
      <c r="C52" s="259" t="s">
        <v>501</v>
      </c>
      <c r="D52" s="250">
        <f>(S52-V52)/(Q52-V52-X52+AB52)</f>
        <v>0.26490066225165565</v>
      </c>
      <c r="E52" s="250">
        <f>Y52/P52</f>
        <v>0.24886877828054299</v>
      </c>
      <c r="F52" s="250">
        <f>(T52+U52+V52)/S52</f>
        <v>0.21428571428571427</v>
      </c>
      <c r="G52" s="250">
        <f>(Y52+R52)/P52</f>
        <v>0.29864253393665158</v>
      </c>
      <c r="H52" s="250">
        <f>(Y52/Q52)+((S52+W52+Z52)/(Q52+W52+Z52+AB52))</f>
        <v>0.54760444353574589</v>
      </c>
      <c r="I52" s="250">
        <f>V52/Y52</f>
        <v>3.6363636363636362E-2</v>
      </c>
      <c r="J52" s="250">
        <f>(AA52+AB52)/Y52</f>
        <v>3.6363636363636362E-2</v>
      </c>
      <c r="K52" s="250">
        <f>X52/P52</f>
        <v>0.21719457013574661</v>
      </c>
      <c r="L52" s="250">
        <f>(W52+Z52)/P52</f>
        <v>8.1447963800904979E-2</v>
      </c>
      <c r="M52" s="260">
        <f>(1-D52*0.7635+1-E52*0.7562+1-F52*0.75+1-G52*0.7248+1-H52*0.7021+1-I52*0.6285+J52*0.5884+K52*0.5276+1-L52*0.3663)/11.068</f>
        <v>0.53588810845340296</v>
      </c>
      <c r="N52" s="266">
        <f>M52/0.4881*100</f>
        <v>109.79063889641527</v>
      </c>
      <c r="O52" s="264">
        <f>(N52-100)/100*P52*0.6611</f>
        <v>14.304426937468506</v>
      </c>
      <c r="P52" s="276">
        <v>221</v>
      </c>
      <c r="Q52" s="276">
        <f>P52-W52-Z52-AA52-AB52</f>
        <v>201</v>
      </c>
      <c r="R52" s="276">
        <v>11</v>
      </c>
      <c r="S52" s="276">
        <v>42</v>
      </c>
      <c r="T52" s="276">
        <v>7</v>
      </c>
      <c r="U52" s="276">
        <v>0</v>
      </c>
      <c r="V52" s="276">
        <v>2</v>
      </c>
      <c r="W52" s="276">
        <v>18</v>
      </c>
      <c r="X52" s="277">
        <v>48</v>
      </c>
      <c r="Y52" s="276">
        <f>S52+T52+U52*2+V52*3</f>
        <v>55</v>
      </c>
      <c r="Z52" s="276">
        <v>0</v>
      </c>
      <c r="AA52" s="276">
        <v>2</v>
      </c>
      <c r="AB52" s="276">
        <v>0</v>
      </c>
      <c r="AC52" s="9"/>
      <c r="AD52" s="37"/>
      <c r="AE52" s="37"/>
    </row>
    <row r="53" spans="1:31" x14ac:dyDescent="0.2">
      <c r="A53" s="9"/>
      <c r="B53" s="251">
        <v>1976</v>
      </c>
      <c r="C53" s="259" t="s">
        <v>515</v>
      </c>
      <c r="D53" s="250">
        <f>(S53-V53)/(Q53-V53-X53+AB53)</f>
        <v>0.27190332326283989</v>
      </c>
      <c r="E53" s="250">
        <f>Y53/P53</f>
        <v>0.27107061503416857</v>
      </c>
      <c r="F53" s="250">
        <f>(T53+U53+V53)/S53</f>
        <v>0.18279569892473119</v>
      </c>
      <c r="G53" s="250">
        <f>(Y53+R53)/P53</f>
        <v>0.33940774487471526</v>
      </c>
      <c r="H53" s="250">
        <f>(Y53/Q53)+((S53+W53+Z53)/(Q53+W53+Z53+AB53))</f>
        <v>0.57851330104300458</v>
      </c>
      <c r="I53" s="250">
        <f>V53/Y53</f>
        <v>2.5210084033613446E-2</v>
      </c>
      <c r="J53" s="250">
        <f>(AA53+AB53)/Y53</f>
        <v>7.5630252100840331E-2</v>
      </c>
      <c r="K53" s="250">
        <f>X53/P53</f>
        <v>0.15945330296127563</v>
      </c>
      <c r="L53" s="250">
        <f>(W53+Z53)/P53</f>
        <v>6.6059225512528477E-2</v>
      </c>
      <c r="M53" s="260">
        <f>(1-D53*0.7635+1-E53*0.7562+1-F53*0.75+1-G53*0.7248+1-H53*0.7021+1-I53*0.6285+J53*0.5884+K53*0.5276+1-L53*0.3663)/11.068</f>
        <v>0.53186943333186532</v>
      </c>
      <c r="N53" s="266">
        <f>M53/0.5072*100</f>
        <v>104.86384726574632</v>
      </c>
      <c r="O53" s="264">
        <f>(N53-100)/100*P53*0.6611</f>
        <v>14.115998586219664</v>
      </c>
      <c r="P53" s="276">
        <v>439</v>
      </c>
      <c r="Q53" s="276">
        <f>P53-W53-Z53-AA53-AB53</f>
        <v>401</v>
      </c>
      <c r="R53" s="276">
        <v>30</v>
      </c>
      <c r="S53" s="276">
        <v>93</v>
      </c>
      <c r="T53" s="276">
        <v>11</v>
      </c>
      <c r="U53" s="276">
        <v>3</v>
      </c>
      <c r="V53" s="276">
        <v>3</v>
      </c>
      <c r="W53" s="276">
        <v>27</v>
      </c>
      <c r="X53" s="277">
        <v>70</v>
      </c>
      <c r="Y53" s="276">
        <f>S53+T53+U53*2+V53*3</f>
        <v>119</v>
      </c>
      <c r="Z53" s="276">
        <v>2</v>
      </c>
      <c r="AA53" s="276">
        <v>6</v>
      </c>
      <c r="AB53" s="276">
        <v>3</v>
      </c>
      <c r="AC53" s="9"/>
      <c r="AD53" s="37"/>
      <c r="AE53" s="37"/>
    </row>
    <row r="54" spans="1:31" x14ac:dyDescent="0.2">
      <c r="A54" s="9"/>
      <c r="B54" s="251">
        <v>1981</v>
      </c>
      <c r="C54" s="259" t="s">
        <v>108</v>
      </c>
      <c r="D54" s="250">
        <f>(S54-V54)/(Q54-V54-X54+AB54)</f>
        <v>0.24186046511627907</v>
      </c>
      <c r="E54" s="250">
        <f>Y54/P54</f>
        <v>0.25925925925925924</v>
      </c>
      <c r="F54" s="250">
        <f>(T54+U54+V54)/S54</f>
        <v>0.25454545454545452</v>
      </c>
      <c r="G54" s="250">
        <f>(Y54+R54)/P54</f>
        <v>0.28956228956228958</v>
      </c>
      <c r="H54" s="250">
        <f>(Y54/Q54)+((S54+W54+Z54)/(Q54+W54+Z54+AB54))</f>
        <v>0.51247329781226214</v>
      </c>
      <c r="I54" s="250">
        <f>V54/Y54</f>
        <v>3.896103896103896E-2</v>
      </c>
      <c r="J54" s="250">
        <f>(AA54+AB54)/Y54</f>
        <v>6.4935064935064929E-2</v>
      </c>
      <c r="K54" s="250">
        <f>X54/P54</f>
        <v>0.2053872053872054</v>
      </c>
      <c r="L54" s="250">
        <f>(W54+Z54)/P54</f>
        <v>4.7138047138047139E-2</v>
      </c>
      <c r="M54" s="260">
        <f>(1-D54*0.7635+1-E54*0.7562+1-F54*0.75+1-G54*0.7248+1-H54*0.7021+1-I54*0.6285+J54*0.5884+K54*0.5276+1-L54*0.3663)/11.068</f>
        <v>0.53880671705551542</v>
      </c>
      <c r="N54" s="266">
        <f>M54/0.5043*100</f>
        <v>106.84249792891443</v>
      </c>
      <c r="O54" s="286">
        <f>(N54-100)/100*P54*0.6611</f>
        <v>13.435018880991821</v>
      </c>
      <c r="P54" s="261">
        <v>297</v>
      </c>
      <c r="Q54" s="261">
        <f>P54-W54-Z54-AA54-AB54</f>
        <v>278</v>
      </c>
      <c r="R54" s="261">
        <v>9</v>
      </c>
      <c r="S54" s="261">
        <v>55</v>
      </c>
      <c r="T54" s="261">
        <v>9</v>
      </c>
      <c r="U54" s="261">
        <v>2</v>
      </c>
      <c r="V54" s="261">
        <v>3</v>
      </c>
      <c r="W54" s="261">
        <v>13</v>
      </c>
      <c r="X54" s="261">
        <v>61</v>
      </c>
      <c r="Y54" s="261">
        <f>S54+T54+U54*2+V54*3</f>
        <v>77</v>
      </c>
      <c r="Z54" s="261">
        <v>1</v>
      </c>
      <c r="AA54" s="261">
        <v>4</v>
      </c>
      <c r="AB54" s="261">
        <v>1</v>
      </c>
      <c r="AC54" s="9"/>
      <c r="AD54" s="37"/>
      <c r="AE54" s="37"/>
    </row>
    <row r="55" spans="1:31" x14ac:dyDescent="0.2">
      <c r="A55" s="9"/>
      <c r="B55" s="251">
        <v>2009</v>
      </c>
      <c r="C55" s="259" t="s">
        <v>23</v>
      </c>
      <c r="D55" s="250">
        <f>(S55-V55)/(Q55-V55-X55+AB55)</f>
        <v>0.24848484848484848</v>
      </c>
      <c r="E55" s="250">
        <f>Y55/P55</f>
        <v>0.29571984435797666</v>
      </c>
      <c r="F55" s="250">
        <f>(T55+U55+V55)/S55</f>
        <v>0.27083333333333331</v>
      </c>
      <c r="G55" s="250">
        <f>(Y55+R55)/P55</f>
        <v>0.35019455252918286</v>
      </c>
      <c r="H55" s="250">
        <f>(Y55/Q55)+((S55+W55+Z55)/(Q55+W55+Z55+AB55))</f>
        <v>0.54882949543917836</v>
      </c>
      <c r="I55" s="250">
        <f>V55/Y55</f>
        <v>9.2105263157894732E-2</v>
      </c>
      <c r="J55" s="250">
        <f>(AA55+AB55)/Y55</f>
        <v>0</v>
      </c>
      <c r="K55" s="250">
        <f>X55/P55</f>
        <v>0.28015564202334631</v>
      </c>
      <c r="L55" s="250">
        <f>(W55+Z55)/P55</f>
        <v>5.0583657587548639E-2</v>
      </c>
      <c r="M55" s="260">
        <f>(1-D55*0.7635+1-E55*0.7562+1-F55*0.75+1-G55*0.7248+1-H55*0.7021+1-I55*0.6285+J55*0.5884+K55*0.5276+1-L55*0.3663)/11.068</f>
        <v>0.52545829748100648</v>
      </c>
      <c r="N55" s="266">
        <f>M55/0.4877*100</f>
        <v>107.74211553844708</v>
      </c>
      <c r="O55" s="264">
        <f>(N55-100)/100*P55*0.6611</f>
        <v>13.154063336941128</v>
      </c>
      <c r="P55" s="276">
        <v>257</v>
      </c>
      <c r="Q55" s="276">
        <f>P55-W55-Z55-AA55-AB55</f>
        <v>244</v>
      </c>
      <c r="R55" s="276">
        <v>14</v>
      </c>
      <c r="S55" s="276">
        <v>48</v>
      </c>
      <c r="T55" s="276">
        <v>5</v>
      </c>
      <c r="U55" s="276">
        <v>1</v>
      </c>
      <c r="V55" s="276">
        <v>7</v>
      </c>
      <c r="W55" s="276">
        <v>12</v>
      </c>
      <c r="X55" s="277">
        <v>72</v>
      </c>
      <c r="Y55" s="276">
        <f>S55+T55+U55*2+V55*3</f>
        <v>76</v>
      </c>
      <c r="Z55" s="276">
        <v>1</v>
      </c>
      <c r="AA55" s="276">
        <v>0</v>
      </c>
      <c r="AB55" s="276">
        <v>0</v>
      </c>
      <c r="AC55" s="9"/>
      <c r="AD55" s="37"/>
      <c r="AE55" s="37"/>
    </row>
    <row r="56" spans="1:31" x14ac:dyDescent="0.2">
      <c r="A56" s="9"/>
      <c r="B56" s="251">
        <v>1980</v>
      </c>
      <c r="C56" s="259" t="s">
        <v>108</v>
      </c>
      <c r="D56" s="250">
        <f>(S56-V56)/(Q56-V56-X56+AB56)</f>
        <v>0.3081761006289308</v>
      </c>
      <c r="E56" s="250">
        <f>Y56/P56</f>
        <v>0.29672897196261683</v>
      </c>
      <c r="F56" s="250">
        <f>(T56+U56+V56)/S56</f>
        <v>0.18811881188118812</v>
      </c>
      <c r="G56" s="250">
        <f>(Y56+R56)/P56</f>
        <v>0.37850467289719625</v>
      </c>
      <c r="H56" s="250">
        <f>(Y56/Q56)+((S56+W56+Z56)/(Q56+W56+Z56+AB56))</f>
        <v>0.6458950434439179</v>
      </c>
      <c r="I56" s="250">
        <f>V56/Y56</f>
        <v>2.3622047244094488E-2</v>
      </c>
      <c r="J56" s="250">
        <f>(AA56+AB56)/Y56</f>
        <v>9.4488188976377951E-2</v>
      </c>
      <c r="K56" s="250">
        <f>X56/P56</f>
        <v>0.16121495327102803</v>
      </c>
      <c r="L56" s="250">
        <f>(W56+Z56)/P56</f>
        <v>7.476635514018691E-2</v>
      </c>
      <c r="M56" s="260">
        <f>(1-D56*0.7635+1-E56*0.7562+1-F56*0.75+1-G56*0.7248+1-H56*0.7021+1-I56*0.6285+J56*0.5884+K56*0.5276+1-L56*0.3663)/11.068</f>
        <v>0.5213073165794776</v>
      </c>
      <c r="N56" s="266">
        <f>M56/0.4984*100</f>
        <v>104.59617106329809</v>
      </c>
      <c r="O56" s="264">
        <f>(N56-100)/100*P56*0.6611</f>
        <v>13.004902792970443</v>
      </c>
      <c r="P56" s="276">
        <v>428</v>
      </c>
      <c r="Q56" s="276">
        <f>P56-W56-Z56-AA56-AB56</f>
        <v>384</v>
      </c>
      <c r="R56" s="276">
        <v>35</v>
      </c>
      <c r="S56" s="276">
        <v>101</v>
      </c>
      <c r="T56" s="276">
        <v>15</v>
      </c>
      <c r="U56" s="276">
        <v>1</v>
      </c>
      <c r="V56" s="276">
        <v>3</v>
      </c>
      <c r="W56" s="276">
        <v>32</v>
      </c>
      <c r="X56" s="277">
        <v>69</v>
      </c>
      <c r="Y56" s="276">
        <f>S56+T56+U56*2+V56*3</f>
        <v>127</v>
      </c>
      <c r="Z56" s="276">
        <v>0</v>
      </c>
      <c r="AA56" s="276">
        <v>6</v>
      </c>
      <c r="AB56" s="276">
        <v>6</v>
      </c>
      <c r="AC56" s="9"/>
      <c r="AD56" s="37"/>
      <c r="AE56" s="37"/>
    </row>
    <row r="57" spans="1:31" x14ac:dyDescent="0.2">
      <c r="A57" s="9"/>
      <c r="B57" s="251">
        <v>2003</v>
      </c>
      <c r="C57" s="259" t="s">
        <v>489</v>
      </c>
      <c r="D57" s="250">
        <f>(S57-V57)/(Q57-V57-X57+AB57)</f>
        <v>0.22169811320754718</v>
      </c>
      <c r="E57" s="250">
        <f>Y57/P57</f>
        <v>0.30177514792899407</v>
      </c>
      <c r="F57" s="250">
        <f>(T57+U57+V57)/S57</f>
        <v>0.40350877192982454</v>
      </c>
      <c r="G57" s="250">
        <f>(Y57+R57)/P57</f>
        <v>0.36390532544378701</v>
      </c>
      <c r="H57" s="250">
        <f>(Y57/Q57)+((S57+W57+Z57)/(Q57+W57+Z57+AB57))</f>
        <v>0.57935524761602952</v>
      </c>
      <c r="I57" s="250">
        <f>V57/Y57</f>
        <v>9.8039215686274508E-2</v>
      </c>
      <c r="J57" s="250">
        <f>(AA57+AB57)/Y57</f>
        <v>1.9607843137254902E-2</v>
      </c>
      <c r="K57" s="250">
        <f>X57/P57</f>
        <v>0.26035502958579881</v>
      </c>
      <c r="L57" s="250">
        <f>(W57+Z57)/P57</f>
        <v>7.9881656804733733E-2</v>
      </c>
      <c r="M57" s="260">
        <f>(1-D57*0.7635+1-E57*0.7562+1-F57*0.75+1-G57*0.7248+1-H57*0.7021+1-I57*0.6285+J57*0.5884+K57*0.5276+1-L57*0.3663)/11.068</f>
        <v>0.51385958764789708</v>
      </c>
      <c r="N57" s="266">
        <f>M57/0.4861*100</f>
        <v>105.71067427440796</v>
      </c>
      <c r="O57" s="264">
        <f>(N57-100)/100*P57*0.6611</f>
        <v>12.760604458301534</v>
      </c>
      <c r="P57" s="276">
        <v>338</v>
      </c>
      <c r="Q57" s="276">
        <f>P57-W57-Z57-AA57-AB57</f>
        <v>309</v>
      </c>
      <c r="R57" s="276">
        <v>21</v>
      </c>
      <c r="S57" s="276">
        <v>57</v>
      </c>
      <c r="T57" s="276">
        <v>11</v>
      </c>
      <c r="U57" s="276">
        <v>2</v>
      </c>
      <c r="V57" s="276">
        <v>10</v>
      </c>
      <c r="W57" s="276">
        <v>20</v>
      </c>
      <c r="X57" s="277">
        <v>88</v>
      </c>
      <c r="Y57" s="276">
        <f>S57+T57+U57*2+V57*3</f>
        <v>102</v>
      </c>
      <c r="Z57" s="276">
        <v>7</v>
      </c>
      <c r="AA57" s="276">
        <v>1</v>
      </c>
      <c r="AB57" s="276">
        <v>1</v>
      </c>
      <c r="AC57" s="9"/>
      <c r="AD57" s="37"/>
      <c r="AE57" s="37"/>
    </row>
    <row r="58" spans="1:31" x14ac:dyDescent="0.2">
      <c r="A58" s="9"/>
      <c r="B58" s="251">
        <v>1989</v>
      </c>
      <c r="C58" s="259" t="s">
        <v>507</v>
      </c>
      <c r="D58" s="250">
        <f>(S58-V58)/(Q58-V58-X58+AB58)</f>
        <v>0.24260355029585798</v>
      </c>
      <c r="E58" s="250">
        <f>Y58/P58</f>
        <v>0.24820143884892087</v>
      </c>
      <c r="F58" s="250">
        <f>(T58+U58+V58)/S58</f>
        <v>0.33333333333333331</v>
      </c>
      <c r="G58" s="250">
        <f>(Y58+R58)/P58</f>
        <v>0.32374100719424459</v>
      </c>
      <c r="H58" s="250">
        <f>(Y58/Q58)+((S58+W58+Z58)/(Q58+W58+Z58+AB58))</f>
        <v>0.53928002455458279</v>
      </c>
      <c r="I58" s="250">
        <f>V58/Y58</f>
        <v>5.7971014492753624E-2</v>
      </c>
      <c r="J58" s="250">
        <f>(AA58+AB58)/Y58</f>
        <v>5.7971014492753624E-2</v>
      </c>
      <c r="K58" s="250">
        <f>X58/P58</f>
        <v>0.27697841726618705</v>
      </c>
      <c r="L58" s="250">
        <f>(W58+Z58)/P58</f>
        <v>9.7122302158273388E-2</v>
      </c>
      <c r="M58" s="260">
        <f>(1-D58*0.7635+1-E58*0.7562+1-F58*0.75+1-G58*0.7248+1-H58*0.7021+1-I58*0.6285+J58*0.5884+K58*0.5276+1-L58*0.3663)/11.068</f>
        <v>0.5305420627055748</v>
      </c>
      <c r="N58" s="266">
        <f>M58/0.4964*100</f>
        <v>106.8779336634921</v>
      </c>
      <c r="O58" s="264">
        <f>(N58-100)/100*P58*0.6611</f>
        <v>12.640665406918268</v>
      </c>
      <c r="P58" s="276">
        <v>278</v>
      </c>
      <c r="Q58" s="276">
        <f>P58-W58-Z58-AA58-AB58</f>
        <v>247</v>
      </c>
      <c r="R58" s="276">
        <v>21</v>
      </c>
      <c r="S58" s="276">
        <v>45</v>
      </c>
      <c r="T58" s="276">
        <v>10</v>
      </c>
      <c r="U58" s="276">
        <v>1</v>
      </c>
      <c r="V58" s="276">
        <v>4</v>
      </c>
      <c r="W58" s="276">
        <v>24</v>
      </c>
      <c r="X58" s="277">
        <v>77</v>
      </c>
      <c r="Y58" s="276">
        <f>S58+T58+U58*2+V58*3</f>
        <v>69</v>
      </c>
      <c r="Z58" s="276">
        <v>3</v>
      </c>
      <c r="AA58" s="276">
        <v>1</v>
      </c>
      <c r="AB58" s="276">
        <v>3</v>
      </c>
      <c r="AC58" s="9"/>
      <c r="AD58" s="37"/>
      <c r="AE58" s="37"/>
    </row>
    <row r="59" spans="1:31" x14ac:dyDescent="0.2">
      <c r="A59" s="9"/>
      <c r="B59" s="251">
        <v>1987</v>
      </c>
      <c r="C59" s="259" t="s">
        <v>508</v>
      </c>
      <c r="D59" s="250">
        <f>(S59-V59)/(Q59-V59-X59+AB59)</f>
        <v>0.30604982206405695</v>
      </c>
      <c r="E59" s="250">
        <f>Y59/P59</f>
        <v>0.31264916467780429</v>
      </c>
      <c r="F59" s="250">
        <f>(T59+U59+V59)/S59</f>
        <v>0.18947368421052632</v>
      </c>
      <c r="G59" s="250">
        <f>(Y59+R59)/P59</f>
        <v>0.42004773269689738</v>
      </c>
      <c r="H59" s="250">
        <f>(Y59/Q59)+((S59+W59+Z59)/(Q59+W59+Z59+AB59))</f>
        <v>0.70328281139218496</v>
      </c>
      <c r="I59" s="250">
        <f>V59/Y59</f>
        <v>6.8702290076335881E-2</v>
      </c>
      <c r="J59" s="250">
        <f>(AA59+AB59)/Y59</f>
        <v>8.3969465648854963E-2</v>
      </c>
      <c r="K59" s="250">
        <f>X59/P59</f>
        <v>0.18377088305489261</v>
      </c>
      <c r="L59" s="250">
        <f>(W59+Z59)/P59</f>
        <v>0.10978520286396182</v>
      </c>
      <c r="M59" s="260">
        <f>(1-D59*0.7635+1-E59*0.7562+1-F59*0.75+1-G59*0.7248+1-H59*0.7021+1-I59*0.6285+J59*0.5884+K59*0.5276+1-L59*0.3663)/11.068</f>
        <v>0.5107107321282236</v>
      </c>
      <c r="N59" s="266">
        <f>M59/0.4887*100</f>
        <v>104.50393536489126</v>
      </c>
      <c r="O59" s="264">
        <f>(N59-100)/100*P59*0.6611</f>
        <v>12.475941496167081</v>
      </c>
      <c r="P59" s="276">
        <v>419</v>
      </c>
      <c r="Q59" s="276">
        <f>P59-W59-Z59-AA59-AB59</f>
        <v>362</v>
      </c>
      <c r="R59" s="276">
        <v>45</v>
      </c>
      <c r="S59" s="276">
        <v>95</v>
      </c>
      <c r="T59" s="276">
        <v>9</v>
      </c>
      <c r="U59" s="276">
        <v>0</v>
      </c>
      <c r="V59" s="276">
        <v>9</v>
      </c>
      <c r="W59" s="276">
        <v>44</v>
      </c>
      <c r="X59" s="277">
        <v>77</v>
      </c>
      <c r="Y59" s="276">
        <f>S59+T59+U59*2+V59*3</f>
        <v>131</v>
      </c>
      <c r="Z59" s="276">
        <v>2</v>
      </c>
      <c r="AA59" s="276">
        <v>6</v>
      </c>
      <c r="AB59" s="276">
        <v>5</v>
      </c>
      <c r="AC59" s="9"/>
      <c r="AD59" s="37"/>
      <c r="AE59" s="37"/>
    </row>
    <row r="60" spans="1:31" x14ac:dyDescent="0.2">
      <c r="A60" s="9"/>
      <c r="B60" s="251">
        <v>2009</v>
      </c>
      <c r="C60" s="259" t="s">
        <v>484</v>
      </c>
      <c r="D60" s="250">
        <f>(S60-V60)/(Q60-V60-X60+AB60)</f>
        <v>0.23333333333333334</v>
      </c>
      <c r="E60" s="250">
        <f>Y60/P60</f>
        <v>0.2767527675276753</v>
      </c>
      <c r="F60" s="250">
        <f>(T60+U60+V60)/S60</f>
        <v>0.40476190476190477</v>
      </c>
      <c r="G60" s="250">
        <f>(Y60+R60)/P60</f>
        <v>0.33579335793357934</v>
      </c>
      <c r="H60" s="250">
        <f>(Y60/Q60)+((S60+W60+Z60)/(Q60+W60+Z60+AB60))</f>
        <v>0.54932249322493221</v>
      </c>
      <c r="I60" s="250">
        <f>V60/Y60</f>
        <v>9.3333333333333338E-2</v>
      </c>
      <c r="J60" s="250">
        <f>(AA60+AB60)/Y60</f>
        <v>1.3333333333333334E-2</v>
      </c>
      <c r="K60" s="250">
        <f>X60/P60</f>
        <v>0.32841328413284132</v>
      </c>
      <c r="L60" s="250">
        <f>(W60+Z60)/P60</f>
        <v>8.8560885608856083E-2</v>
      </c>
      <c r="M60" s="260">
        <f>(1-D60*0.7635+1-E60*0.7562+1-F60*0.75+1-G60*0.7248+1-H60*0.7021+1-I60*0.6285+J60*0.5884+K60*0.5276+1-L60*0.3663)/11.068</f>
        <v>0.52131840530754936</v>
      </c>
      <c r="N60" s="266">
        <f>M60/0.4877*100</f>
        <v>106.89325513790226</v>
      </c>
      <c r="O60" s="264">
        <f>(N60-100)/100*P60*0.6611</f>
        <v>12.349824933218066</v>
      </c>
      <c r="P60" s="276">
        <v>271</v>
      </c>
      <c r="Q60" s="276">
        <f>P60-W60-Z60-AA60-AB60</f>
        <v>246</v>
      </c>
      <c r="R60" s="276">
        <v>16</v>
      </c>
      <c r="S60" s="276">
        <v>42</v>
      </c>
      <c r="T60" s="276">
        <v>8</v>
      </c>
      <c r="U60" s="276">
        <v>2</v>
      </c>
      <c r="V60" s="276">
        <v>7</v>
      </c>
      <c r="W60" s="276">
        <v>22</v>
      </c>
      <c r="X60" s="277">
        <v>89</v>
      </c>
      <c r="Y60" s="276">
        <f>S60+T60+U60*2+V60*3</f>
        <v>75</v>
      </c>
      <c r="Z60" s="276">
        <v>2</v>
      </c>
      <c r="AA60" s="276">
        <v>1</v>
      </c>
      <c r="AB60" s="276">
        <v>0</v>
      </c>
      <c r="AC60" s="9"/>
      <c r="AD60" s="37"/>
      <c r="AE60" s="37"/>
    </row>
    <row r="61" spans="1:31" x14ac:dyDescent="0.2">
      <c r="A61" s="9"/>
      <c r="B61" s="251">
        <v>2006</v>
      </c>
      <c r="C61" s="259" t="s">
        <v>32</v>
      </c>
      <c r="D61" s="250">
        <f>(S61-V61)/(Q61-V61-X61+AB61)</f>
        <v>0.23595505617977527</v>
      </c>
      <c r="E61" s="250">
        <f>Y61/P61</f>
        <v>0.29838709677419356</v>
      </c>
      <c r="F61" s="250">
        <f>(T61+U61+V61)/S61</f>
        <v>0.29166666666666669</v>
      </c>
      <c r="G61" s="250">
        <f>(Y61+R61)/P61</f>
        <v>0.36290322580645162</v>
      </c>
      <c r="H61" s="250">
        <f>(Y61/Q61)+((S61+W61+Z61)/(Q61+W61+Z61+AB61))</f>
        <v>0.56623931623931623</v>
      </c>
      <c r="I61" s="250">
        <f>V61/Y61</f>
        <v>8.1081081081081086E-2</v>
      </c>
      <c r="J61" s="250">
        <f>(AA61+AB61)/Y61</f>
        <v>0</v>
      </c>
      <c r="K61" s="250">
        <f>X61/P61</f>
        <v>0.20161290322580644</v>
      </c>
      <c r="L61" s="250">
        <f>(W61+Z61)/P61</f>
        <v>5.6451612903225805E-2</v>
      </c>
      <c r="M61" s="260">
        <f>(1-D61*0.7635+1-E61*0.7562+1-F61*0.75+1-G61*0.7248+1-H61*0.7021+1-I61*0.6285+J61*0.5884+K61*0.5276+1-L61*0.3663)/11.068</f>
        <v>0.51947979693765645</v>
      </c>
      <c r="N61" s="266">
        <f>M61/0.4833*100</f>
        <v>107.48599150375678</v>
      </c>
      <c r="O61" s="264">
        <f>(N61-100)/100*P61*0.6611</f>
        <v>12.273492678171342</v>
      </c>
      <c r="P61" s="276">
        <v>248</v>
      </c>
      <c r="Q61" s="276">
        <f>P61-W61-Z61-AA61-AB61</f>
        <v>234</v>
      </c>
      <c r="R61" s="276">
        <v>16</v>
      </c>
      <c r="S61" s="276">
        <v>48</v>
      </c>
      <c r="T61" s="276">
        <v>8</v>
      </c>
      <c r="U61" s="276">
        <v>0</v>
      </c>
      <c r="V61" s="276">
        <v>6</v>
      </c>
      <c r="W61" s="276">
        <v>13</v>
      </c>
      <c r="X61" s="277">
        <v>50</v>
      </c>
      <c r="Y61" s="276">
        <f>S61+T61+U61*2+V61*3</f>
        <v>74</v>
      </c>
      <c r="Z61" s="276">
        <v>1</v>
      </c>
      <c r="AA61" s="276">
        <v>0</v>
      </c>
      <c r="AB61" s="276">
        <v>0</v>
      </c>
      <c r="AC61" s="9"/>
      <c r="AD61" s="37"/>
      <c r="AE61" s="37"/>
    </row>
    <row r="62" spans="1:31" x14ac:dyDescent="0.2">
      <c r="A62" s="9"/>
      <c r="B62" s="251">
        <v>2020</v>
      </c>
      <c r="C62" s="259" t="s">
        <v>470</v>
      </c>
      <c r="D62" s="291">
        <f>(S62-V62)/(Q62-V62-X62+AB62)</f>
        <v>0.19444444444444445</v>
      </c>
      <c r="E62" s="291">
        <f>Y62/P62</f>
        <v>0.14000000000000001</v>
      </c>
      <c r="F62" s="250">
        <f>(T62+U62+V62)/S62</f>
        <v>0.375</v>
      </c>
      <c r="G62" s="291">
        <f>(Y62+R62)/P62</f>
        <v>0.18</v>
      </c>
      <c r="H62" s="291">
        <f>(Y62/Q62)+((S62+W62+Z62)/(Q62+W62+Z62+AB62))</f>
        <v>0.33555555555555555</v>
      </c>
      <c r="I62" s="250">
        <f>V62/Y62</f>
        <v>7.1428571428571425E-2</v>
      </c>
      <c r="J62" s="250">
        <f>(AA62+AB62)/Y62</f>
        <v>0</v>
      </c>
      <c r="K62" s="291">
        <f>X62/P62</f>
        <v>0.53</v>
      </c>
      <c r="L62" s="250">
        <f>(W62+Z62)/P62</f>
        <v>0.1</v>
      </c>
      <c r="M62" s="260">
        <f>(1-D62*0.7635+1-E62*0.7562+1-F62*0.75+1-G62*0.7248+1-H62*0.7021+1-I62*0.6285+J62*0.5884+K62*0.5276+1-L62*0.3663)/11.068</f>
        <v>0.56888970491220225</v>
      </c>
      <c r="N62" s="266">
        <f>M62/0.4854*100</f>
        <v>117.20018642608206</v>
      </c>
      <c r="O62" s="264">
        <f>(N62-100)/100*P62*0.6611</f>
        <v>11.371043246282847</v>
      </c>
      <c r="P62" s="276">
        <v>100</v>
      </c>
      <c r="Q62" s="276">
        <f>P62-W62-Z62-AA62-AB62</f>
        <v>90</v>
      </c>
      <c r="R62" s="276">
        <v>4</v>
      </c>
      <c r="S62" s="276">
        <v>8</v>
      </c>
      <c r="T62" s="276">
        <v>1</v>
      </c>
      <c r="U62" s="276">
        <v>1</v>
      </c>
      <c r="V62" s="276">
        <v>1</v>
      </c>
      <c r="W62" s="276">
        <v>9</v>
      </c>
      <c r="X62" s="277">
        <v>53</v>
      </c>
      <c r="Y62" s="276">
        <f>S62+T62+U62*2+V62*3</f>
        <v>14</v>
      </c>
      <c r="Z62" s="276">
        <v>1</v>
      </c>
      <c r="AA62" s="276">
        <v>0</v>
      </c>
      <c r="AB62" s="276">
        <v>0</v>
      </c>
      <c r="AC62" s="9"/>
      <c r="AD62" s="37"/>
      <c r="AE62" s="37"/>
    </row>
    <row r="63" spans="1:31" x14ac:dyDescent="0.2">
      <c r="A63" s="9"/>
      <c r="B63" s="251">
        <v>2008</v>
      </c>
      <c r="C63" s="259" t="s">
        <v>485</v>
      </c>
      <c r="D63" s="250">
        <f>(S63-V63)/(Q63-V63-X63+AB63)</f>
        <v>0.29411764705882354</v>
      </c>
      <c r="E63" s="250">
        <f>Y63/P63</f>
        <v>0.27430555555555558</v>
      </c>
      <c r="F63" s="250">
        <f>(T63+U63+V63)/S63</f>
        <v>0.31481481481481483</v>
      </c>
      <c r="G63" s="250">
        <f>(Y63+R63)/P63</f>
        <v>0.34722222222222221</v>
      </c>
      <c r="H63" s="250">
        <f>(Y63/Q63)+((S63+W63+Z63)/(Q63+W63+Z63+AB63))</f>
        <v>0.62958885017421595</v>
      </c>
      <c r="I63" s="250">
        <f>V63/Y63</f>
        <v>5.0632911392405063E-2</v>
      </c>
      <c r="J63" s="250">
        <f>(AA63+AB63)/Y63</f>
        <v>2.5316455696202531E-2</v>
      </c>
      <c r="K63" s="250">
        <f>X63/P63</f>
        <v>0.2673611111111111</v>
      </c>
      <c r="L63" s="250">
        <f>(W63+Z63)/P63</f>
        <v>0.125</v>
      </c>
      <c r="M63" s="260">
        <f>(1-D63*0.7635+1-E63*0.7562+1-F63*0.75+1-G63*0.7248+1-H63*0.7021+1-I63*0.6285+J63*0.5884+K63*0.5276+1-L63*0.3663)/11.068</f>
        <v>0.51649302907644778</v>
      </c>
      <c r="N63" s="266">
        <f>M63/0.4878*100</f>
        <v>105.88212978196961</v>
      </c>
      <c r="O63" s="264">
        <f>(N63-100)/100*P63*0.6611</f>
        <v>11.199386876717115</v>
      </c>
      <c r="P63" s="276">
        <v>288</v>
      </c>
      <c r="Q63" s="276">
        <f>P63-W63-Z63-AA63-AB63</f>
        <v>250</v>
      </c>
      <c r="R63" s="276">
        <v>21</v>
      </c>
      <c r="S63" s="276">
        <v>54</v>
      </c>
      <c r="T63" s="276">
        <v>13</v>
      </c>
      <c r="U63" s="276">
        <v>0</v>
      </c>
      <c r="V63" s="276">
        <v>4</v>
      </c>
      <c r="W63" s="276">
        <v>34</v>
      </c>
      <c r="X63" s="277">
        <v>77</v>
      </c>
      <c r="Y63" s="276">
        <f>S63+T63+U63*2+V63*3</f>
        <v>79</v>
      </c>
      <c r="Z63" s="276">
        <v>2</v>
      </c>
      <c r="AA63" s="276">
        <v>1</v>
      </c>
      <c r="AB63" s="276">
        <v>1</v>
      </c>
      <c r="AC63" s="9"/>
      <c r="AD63" s="37"/>
      <c r="AE63" s="37"/>
    </row>
    <row r="64" spans="1:31" x14ac:dyDescent="0.2">
      <c r="A64" s="9"/>
      <c r="B64" s="251">
        <v>1992</v>
      </c>
      <c r="C64" s="259" t="s">
        <v>75</v>
      </c>
      <c r="D64" s="250">
        <f>(S64-V64)/(Q64-V64-X64+AB64)</f>
        <v>0.29081632653061223</v>
      </c>
      <c r="E64" s="250">
        <f>Y64/P64</f>
        <v>0.29126213592233008</v>
      </c>
      <c r="F64" s="250">
        <f>(T64+U64+V64)/S64</f>
        <v>0.27419354838709675</v>
      </c>
      <c r="G64" s="250">
        <f>(Y64+R64)/P64</f>
        <v>0.34627831715210355</v>
      </c>
      <c r="H64" s="250">
        <f>(Y64/Q64)+((S64+W64+Z64)/(Q64+W64+Z64+AB64))</f>
        <v>0.547952514339069</v>
      </c>
      <c r="I64" s="250">
        <f>V64/Y64</f>
        <v>5.5555555555555552E-2</v>
      </c>
      <c r="J64" s="250">
        <f>(AA64+AB64)/Y64</f>
        <v>3.3333333333333333E-2</v>
      </c>
      <c r="K64" s="250">
        <f>X64/P64</f>
        <v>0.30097087378640774</v>
      </c>
      <c r="L64" s="250">
        <f>(W64+Z64)/P64</f>
        <v>3.8834951456310676E-2</v>
      </c>
      <c r="M64" s="260">
        <f>(1-D64*0.7635+1-E64*0.7562+1-F64*0.75+1-G64*0.7248+1-H64*0.7021+1-I64*0.6285+J64*0.5884+K64*0.5276+1-L64*0.3663)/11.068</f>
        <v>0.52815574797503717</v>
      </c>
      <c r="N64" s="266">
        <f>M64/0.5012*100</f>
        <v>105.37824181465227</v>
      </c>
      <c r="O64" s="286">
        <f>(N64-100)/100*P64*0.6611</f>
        <v>10.986667000729843</v>
      </c>
      <c r="P64" s="261">
        <v>309</v>
      </c>
      <c r="Q64" s="261">
        <f>P64-W64-Z64-AA64-AB64</f>
        <v>294</v>
      </c>
      <c r="R64" s="261">
        <v>17</v>
      </c>
      <c r="S64" s="261">
        <v>62</v>
      </c>
      <c r="T64" s="261">
        <v>11</v>
      </c>
      <c r="U64" s="261">
        <v>1</v>
      </c>
      <c r="V64" s="261">
        <v>5</v>
      </c>
      <c r="W64" s="261">
        <v>11</v>
      </c>
      <c r="X64" s="261">
        <v>93</v>
      </c>
      <c r="Y64" s="261">
        <f>S64+T64+U64*2+V64*3</f>
        <v>90</v>
      </c>
      <c r="Z64" s="261">
        <v>1</v>
      </c>
      <c r="AA64" s="261">
        <v>3</v>
      </c>
      <c r="AB64" s="261">
        <v>0</v>
      </c>
      <c r="AC64" s="9"/>
      <c r="AD64" s="37"/>
      <c r="AE64" s="37"/>
    </row>
    <row r="65" spans="1:31" x14ac:dyDescent="0.2">
      <c r="A65" s="9"/>
      <c r="B65" s="251">
        <v>2006</v>
      </c>
      <c r="C65" s="259" t="s">
        <v>485</v>
      </c>
      <c r="D65" s="250">
        <f>(S65-V65)/(Q65-V65-X65+AB65)</f>
        <v>0.28749999999999998</v>
      </c>
      <c r="E65" s="250">
        <f>Y65/P65</f>
        <v>0.29729729729729731</v>
      </c>
      <c r="F65" s="250">
        <f>(T65+U65+V65)/S65</f>
        <v>0.46153846153846156</v>
      </c>
      <c r="G65" s="250">
        <f>(Y65+R65)/P65</f>
        <v>0.35135135135135137</v>
      </c>
      <c r="H65" s="250">
        <f>(Y65/Q65)+((S65+W65+Z65)/(Q65+W65+Z65+AB65))</f>
        <v>0.60978384527872587</v>
      </c>
      <c r="I65" s="250">
        <f>V65/Y65</f>
        <v>6.8181818181818177E-2</v>
      </c>
      <c r="J65" s="250">
        <f>(AA65+AB65)/Y65</f>
        <v>3.4090909090909088E-2</v>
      </c>
      <c r="K65" s="250">
        <f>X65/P65</f>
        <v>0.33108108108108109</v>
      </c>
      <c r="L65" s="250">
        <f>(W65+Z65)/P65</f>
        <v>9.7972972972972971E-2</v>
      </c>
      <c r="M65" s="260">
        <f>(1-D65*0.7635+1-E65*0.7562+1-F65*0.75+1-G65*0.7248+1-H65*0.7021+1-I65*0.6285+J65*0.5884+K65*0.5276+1-L65*0.3663)/11.068</f>
        <v>0.50982405917604634</v>
      </c>
      <c r="N65" s="266">
        <f>M65/0.4833*100</f>
        <v>105.4881148719318</v>
      </c>
      <c r="O65" s="264">
        <f>(N65-100)/100*P65*0.6611</f>
        <v>10.739450515828974</v>
      </c>
      <c r="P65" s="276">
        <v>296</v>
      </c>
      <c r="Q65" s="276">
        <f>P65-W65-Z65-AA65-AB65</f>
        <v>264</v>
      </c>
      <c r="R65" s="276">
        <v>16</v>
      </c>
      <c r="S65" s="276">
        <v>52</v>
      </c>
      <c r="T65" s="276">
        <v>18</v>
      </c>
      <c r="U65" s="276">
        <v>0</v>
      </c>
      <c r="V65" s="276">
        <v>6</v>
      </c>
      <c r="W65" s="276">
        <v>28</v>
      </c>
      <c r="X65" s="277">
        <v>98</v>
      </c>
      <c r="Y65" s="276">
        <f>S65+T65+U65*2+V65*3</f>
        <v>88</v>
      </c>
      <c r="Z65" s="276">
        <v>1</v>
      </c>
      <c r="AA65" s="276">
        <v>3</v>
      </c>
      <c r="AB65" s="276">
        <v>0</v>
      </c>
      <c r="AC65" s="9"/>
      <c r="AD65" s="37"/>
      <c r="AE65" s="37"/>
    </row>
    <row r="66" spans="1:31" x14ac:dyDescent="0.2">
      <c r="A66" s="9"/>
      <c r="B66" s="251">
        <v>1987</v>
      </c>
      <c r="C66" s="259" t="s">
        <v>445</v>
      </c>
      <c r="D66" s="250">
        <f>(S66-V66)/(Q66-V66-X66+AB66)</f>
        <v>0.27200000000000002</v>
      </c>
      <c r="E66" s="250">
        <f>Y66/P66</f>
        <v>0.33060109289617484</v>
      </c>
      <c r="F66" s="250">
        <f>(T66+U66+V66)/S66</f>
        <v>0.22784810126582278</v>
      </c>
      <c r="G66" s="250">
        <f>(Y66+R66)/P66</f>
        <v>0.41530054644808745</v>
      </c>
      <c r="H66" s="250">
        <f>(Y66/Q66)+((S66+W66+Z66)/(Q66+W66+Z66+AB66))</f>
        <v>0.65897874580509308</v>
      </c>
      <c r="I66" s="250">
        <f>V66/Y66</f>
        <v>9.0909090909090912E-2</v>
      </c>
      <c r="J66" s="250">
        <f>(AA66+AB66)/Y66</f>
        <v>2.4793388429752067E-2</v>
      </c>
      <c r="K66" s="250">
        <f>X66/P66</f>
        <v>0.20218579234972678</v>
      </c>
      <c r="L66" s="250">
        <f>(W66+Z66)/P66</f>
        <v>7.9234972677595633E-2</v>
      </c>
      <c r="M66" s="260">
        <f>(1-D66*0.7635+1-E66*0.7562+1-F66*0.75+1-G66*0.7248+1-H66*0.7021+1-I66*0.6285+J66*0.5884+K66*0.5276+1-L66*0.3663)/11.068</f>
        <v>0.50983593095182789</v>
      </c>
      <c r="N66" s="266">
        <f>M66/0.4887*100</f>
        <v>104.32492959930997</v>
      </c>
      <c r="O66" s="286">
        <f>(N66-100)/100*P66*0.6611</f>
        <v>10.464712106659981</v>
      </c>
      <c r="P66" s="261">
        <v>366</v>
      </c>
      <c r="Q66" s="261">
        <f>P66-W66-Z66-AA66-AB66</f>
        <v>334</v>
      </c>
      <c r="R66" s="261">
        <v>31</v>
      </c>
      <c r="S66" s="261">
        <v>79</v>
      </c>
      <c r="T66" s="261">
        <v>5</v>
      </c>
      <c r="U66" s="261">
        <v>2</v>
      </c>
      <c r="V66" s="261">
        <v>11</v>
      </c>
      <c r="W66" s="261">
        <v>28</v>
      </c>
      <c r="X66" s="261">
        <v>74</v>
      </c>
      <c r="Y66" s="261">
        <f>S66+T66+U66*2+V66*3</f>
        <v>121</v>
      </c>
      <c r="Z66" s="261">
        <v>1</v>
      </c>
      <c r="AA66" s="261">
        <v>2</v>
      </c>
      <c r="AB66" s="261">
        <v>1</v>
      </c>
      <c r="AC66" s="9"/>
      <c r="AD66" s="37"/>
      <c r="AE66" s="37"/>
    </row>
    <row r="67" spans="1:31" x14ac:dyDescent="0.2">
      <c r="A67" s="9"/>
      <c r="B67" s="251">
        <v>2007</v>
      </c>
      <c r="C67" s="259" t="s">
        <v>480</v>
      </c>
      <c r="D67" s="250">
        <f>(S67-V67)/(Q67-V67-X67+AB67)</f>
        <v>0.25827814569536423</v>
      </c>
      <c r="E67" s="250">
        <f>Y67/P67</f>
        <v>0.29056603773584905</v>
      </c>
      <c r="F67" s="250">
        <f>(T67+U67+V67)/S67</f>
        <v>0.34782608695652173</v>
      </c>
      <c r="G67" s="250">
        <f>(Y67+R67)/P67</f>
        <v>0.36981132075471695</v>
      </c>
      <c r="H67" s="250">
        <f>(Y67/Q67)+((S67+W67+Z67)/(Q67+W67+Z67+AB67))</f>
        <v>0.61067844239261337</v>
      </c>
      <c r="I67" s="250">
        <f>V67/Y67</f>
        <v>9.0909090909090912E-2</v>
      </c>
      <c r="J67" s="250">
        <f>(AA67+AB67)/Y67</f>
        <v>1.2987012987012988E-2</v>
      </c>
      <c r="K67" s="250">
        <f>X67/P67</f>
        <v>0.29433962264150942</v>
      </c>
      <c r="L67" s="250">
        <f>(W67+Z67)/P67</f>
        <v>0.10943396226415095</v>
      </c>
      <c r="M67" s="260">
        <f>(1-D67*0.7635+1-E67*0.7562+1-F67*0.75+1-G67*0.7248+1-H67*0.7021+1-I67*0.6285+J67*0.5884+K67*0.5276+1-L67*0.3663)/11.068</f>
        <v>0.51419638348888441</v>
      </c>
      <c r="N67" s="266">
        <f>M67/0.4859*100</f>
        <v>105.82349938030137</v>
      </c>
      <c r="O67" s="264">
        <f>(N67-100)/100*P67*0.6611</f>
        <v>10.202275916840676</v>
      </c>
      <c r="P67" s="276">
        <v>265</v>
      </c>
      <c r="Q67" s="276">
        <f>P67-W67-Z67-AA67-AB67</f>
        <v>235</v>
      </c>
      <c r="R67" s="276">
        <v>21</v>
      </c>
      <c r="S67" s="276">
        <v>46</v>
      </c>
      <c r="T67" s="276">
        <v>8</v>
      </c>
      <c r="U67" s="276">
        <v>1</v>
      </c>
      <c r="V67" s="276">
        <v>7</v>
      </c>
      <c r="W67" s="276">
        <v>26</v>
      </c>
      <c r="X67" s="277">
        <v>78</v>
      </c>
      <c r="Y67" s="276">
        <f>S67+T67+U67*2+V67*3</f>
        <v>77</v>
      </c>
      <c r="Z67" s="276">
        <v>3</v>
      </c>
      <c r="AA67" s="276">
        <v>0</v>
      </c>
      <c r="AB67" s="276">
        <v>1</v>
      </c>
      <c r="AC67" s="9"/>
      <c r="AD67" s="37"/>
      <c r="AE67" s="37"/>
    </row>
    <row r="68" spans="1:31" x14ac:dyDescent="0.2">
      <c r="A68" s="9"/>
      <c r="B68" s="251">
        <v>1977</v>
      </c>
      <c r="C68" s="259" t="s">
        <v>108</v>
      </c>
      <c r="D68" s="250">
        <f>(S68-V68)/(Q68-V68-X68+AB68)</f>
        <v>0.29599999999999999</v>
      </c>
      <c r="E68" s="250">
        <f>Y68/P68</f>
        <v>0.33701657458563539</v>
      </c>
      <c r="F68" s="250">
        <f>(T68+U68+V68)/S68</f>
        <v>0.26829268292682928</v>
      </c>
      <c r="G68" s="250">
        <f>(Y68+R68)/P68</f>
        <v>0.42357274401473294</v>
      </c>
      <c r="H68" s="250">
        <f>(Y68/Q68)+((S68+W68+Z68)/(Q68+W68+Z68+AB68))</f>
        <v>0.66690319577100987</v>
      </c>
      <c r="I68" s="250">
        <f>V68/Y68</f>
        <v>6.5573770491803282E-2</v>
      </c>
      <c r="J68" s="250">
        <f>(AA68+AB68)/Y68</f>
        <v>5.4644808743169397E-2</v>
      </c>
      <c r="K68" s="250">
        <f>X68/P68</f>
        <v>0.20810313075506445</v>
      </c>
      <c r="L68" s="250">
        <f>(W68+Z68)/P68</f>
        <v>6.8139963167587483E-2</v>
      </c>
      <c r="M68" s="260">
        <f>(1-D68*0.7635+1-E68*0.7562+1-F68*0.75+1-G68*0.7248+1-H68*0.7021+1-I68*0.6285+J68*0.5884+K68*0.5276+1-L68*0.3663)/11.068</f>
        <v>0.50763188737612785</v>
      </c>
      <c r="N68" s="266">
        <f>M68/0.4939*100</f>
        <v>102.78029709984366</v>
      </c>
      <c r="O68" s="264">
        <f>(N68-100)/100*P68*0.6611</f>
        <v>9.9806354609970924</v>
      </c>
      <c r="P68" s="276">
        <v>543</v>
      </c>
      <c r="Q68" s="276">
        <f>P68-W68-Z68-AA68-AB68</f>
        <v>496</v>
      </c>
      <c r="R68" s="276">
        <v>47</v>
      </c>
      <c r="S68" s="276">
        <v>123</v>
      </c>
      <c r="T68" s="276">
        <v>18</v>
      </c>
      <c r="U68" s="276">
        <v>3</v>
      </c>
      <c r="V68" s="276">
        <v>12</v>
      </c>
      <c r="W68" s="276">
        <v>36</v>
      </c>
      <c r="X68" s="277">
        <v>113</v>
      </c>
      <c r="Y68" s="276">
        <f>S68+T68+U68*2+V68*3</f>
        <v>183</v>
      </c>
      <c r="Z68" s="276">
        <v>1</v>
      </c>
      <c r="AA68" s="276">
        <v>6</v>
      </c>
      <c r="AB68" s="276">
        <v>4</v>
      </c>
      <c r="AC68" s="9"/>
      <c r="AD68" s="37"/>
      <c r="AE68" s="37"/>
    </row>
    <row r="69" spans="1:31" x14ac:dyDescent="0.2">
      <c r="A69" s="9"/>
      <c r="B69" s="251">
        <v>1986</v>
      </c>
      <c r="C69" s="259" t="s">
        <v>509</v>
      </c>
      <c r="D69" s="250">
        <f>(S69-V69)/(Q69-V69-X69+AB69)</f>
        <v>0.25752508361204013</v>
      </c>
      <c r="E69" s="250">
        <f>Y69/P69</f>
        <v>0.30697674418604654</v>
      </c>
      <c r="F69" s="250">
        <f>(T69+U69+V69)/S69</f>
        <v>0.31395348837209303</v>
      </c>
      <c r="G69" s="250">
        <f>(Y69+R69)/P69</f>
        <v>0.37441860465116278</v>
      </c>
      <c r="H69" s="250">
        <f>(Y69/Q69)+((S69+W69+Z69)/(Q69+W69+Z69+AB69))</f>
        <v>0.65460047281323874</v>
      </c>
      <c r="I69" s="250">
        <f>V69/Y69</f>
        <v>6.8181818181818177E-2</v>
      </c>
      <c r="J69" s="250">
        <f>(AA69+AB69)/Y69</f>
        <v>9.8484848484848481E-2</v>
      </c>
      <c r="K69" s="250">
        <f>X69/P69</f>
        <v>0.16976744186046511</v>
      </c>
      <c r="L69" s="250">
        <f>(W69+Z69)/P69</f>
        <v>9.7674418604651161E-2</v>
      </c>
      <c r="M69" s="260">
        <f>(1-D69*0.7635+1-E69*0.7562+1-F69*0.75+1-G69*0.7248+1-H69*0.7021+1-I69*0.6285+J69*0.5884+K69*0.5276+1-L69*0.3663)/11.068</f>
        <v>0.51262129081389785</v>
      </c>
      <c r="N69" s="266">
        <f>M69/0.4953*100</f>
        <v>103.49713119602217</v>
      </c>
      <c r="O69" s="264">
        <f>(N69-100)/100*P69*0.6611</f>
        <v>9.9413997648680947</v>
      </c>
      <c r="P69" s="276">
        <v>430</v>
      </c>
      <c r="Q69" s="276">
        <f>P69-W69-Z69-AA69-AB69</f>
        <v>375</v>
      </c>
      <c r="R69" s="276">
        <v>29</v>
      </c>
      <c r="S69" s="276">
        <v>86</v>
      </c>
      <c r="T69" s="276">
        <v>17</v>
      </c>
      <c r="U69" s="276">
        <v>1</v>
      </c>
      <c r="V69" s="276">
        <v>9</v>
      </c>
      <c r="W69" s="276">
        <v>41</v>
      </c>
      <c r="X69" s="277">
        <v>73</v>
      </c>
      <c r="Y69" s="276">
        <f>S69+T69+U69*2+V69*3</f>
        <v>132</v>
      </c>
      <c r="Z69" s="276">
        <v>1</v>
      </c>
      <c r="AA69" s="276">
        <v>7</v>
      </c>
      <c r="AB69" s="276">
        <v>6</v>
      </c>
      <c r="AC69" s="9"/>
      <c r="AD69" s="37"/>
      <c r="AE69" s="37"/>
    </row>
    <row r="70" spans="1:31" x14ac:dyDescent="0.2">
      <c r="A70" s="9"/>
      <c r="B70" s="251">
        <v>1984</v>
      </c>
      <c r="C70" s="259" t="s">
        <v>510</v>
      </c>
      <c r="D70" s="250">
        <f>(S70-V70)/(Q70-V70-X70+AB70)</f>
        <v>0.25170068027210885</v>
      </c>
      <c r="E70" s="250">
        <f>Y70/P70</f>
        <v>0.33201581027667987</v>
      </c>
      <c r="F70" s="250">
        <f>(T70+U70+V70)/S70</f>
        <v>0.21487603305785125</v>
      </c>
      <c r="G70" s="250">
        <f>(Y70+R70)/P70</f>
        <v>0.40909090909090912</v>
      </c>
      <c r="H70" s="250">
        <f>(Y70/Q70)+((S70+W70+Z70)/(Q70+W70+Z70+AB70))</f>
        <v>0.60744717109747781</v>
      </c>
      <c r="I70" s="250">
        <f>V70/Y70</f>
        <v>5.9523809523809521E-2</v>
      </c>
      <c r="J70" s="250">
        <f>(AA70+AB70)/Y70</f>
        <v>2.976190476190476E-2</v>
      </c>
      <c r="K70" s="250">
        <f>X70/P70</f>
        <v>8.1027667984189727E-2</v>
      </c>
      <c r="L70" s="250">
        <f>(W70+Z70)/P70</f>
        <v>2.3715415019762844E-2</v>
      </c>
      <c r="M70" s="260">
        <f>(1-D70*0.7635+1-E70*0.7562+1-F70*0.75+1-G70*0.7248+1-H70*0.7021+1-I70*0.6285+J70*0.5884+K70*0.5276+1-L70*0.3663)/11.068</f>
        <v>0.51380247849059546</v>
      </c>
      <c r="N70" s="266">
        <f>M70/0.499*100</f>
        <v>102.96642855522956</v>
      </c>
      <c r="O70" s="264">
        <f>(N70-100)/100*P70*0.6611</f>
        <v>9.9231959443830302</v>
      </c>
      <c r="P70" s="276">
        <v>506</v>
      </c>
      <c r="Q70" s="276">
        <f>P70-W70-Z70-AA70-AB70</f>
        <v>489</v>
      </c>
      <c r="R70" s="276">
        <v>39</v>
      </c>
      <c r="S70" s="276">
        <v>121</v>
      </c>
      <c r="T70" s="276">
        <v>15</v>
      </c>
      <c r="U70" s="276">
        <v>1</v>
      </c>
      <c r="V70" s="276">
        <v>10</v>
      </c>
      <c r="W70" s="276">
        <v>12</v>
      </c>
      <c r="X70" s="277">
        <v>41</v>
      </c>
      <c r="Y70" s="276">
        <f>S70+T70+U70*2+V70*3</f>
        <v>168</v>
      </c>
      <c r="Z70" s="276">
        <v>0</v>
      </c>
      <c r="AA70" s="276">
        <v>2</v>
      </c>
      <c r="AB70" s="276">
        <v>3</v>
      </c>
      <c r="AC70" s="9"/>
      <c r="AD70" s="37"/>
      <c r="AE70" s="37"/>
    </row>
    <row r="71" spans="1:31" x14ac:dyDescent="0.2">
      <c r="A71" s="9"/>
      <c r="B71" s="251">
        <v>2020</v>
      </c>
      <c r="C71" s="259" t="s">
        <v>469</v>
      </c>
      <c r="D71" s="250">
        <f>(S71-V71)/(Q71-V71-X71+AB71)</f>
        <v>0.26</v>
      </c>
      <c r="E71" s="250">
        <f>Y71/P71</f>
        <v>0.20652173913043478</v>
      </c>
      <c r="F71" s="250">
        <f>(T71+U71+V71)/S71</f>
        <v>0.21428571428571427</v>
      </c>
      <c r="G71" s="250">
        <f>(Y71+R71)/P71</f>
        <v>0.27173913043478259</v>
      </c>
      <c r="H71" s="250">
        <f>(Y71/Q71)+((S71+W71+Z71)/(Q71+W71+Z71+AB71))</f>
        <v>0.40520399141088798</v>
      </c>
      <c r="I71" s="250">
        <f>V71/Y71</f>
        <v>5.2631578947368418E-2</v>
      </c>
      <c r="J71" s="250">
        <f>(AA71+AB71)/Y71</f>
        <v>0.10526315789473684</v>
      </c>
      <c r="K71" s="250">
        <f>X71/P71</f>
        <v>0.40217391304347827</v>
      </c>
      <c r="L71" s="250">
        <f>(W71+Z71)/P71</f>
        <v>3.2608695652173912E-2</v>
      </c>
      <c r="M71" s="260">
        <f>(1-D71*0.7635+1-E71*0.7562+1-F71*0.75+1-G71*0.7248+1-H71*0.7021+1-I71*0.6285+J71*0.5884+K71*0.5276+1-L71*0.3663)/11.068</f>
        <v>0.56308764158725655</v>
      </c>
      <c r="N71" s="266">
        <f>M71/0.4854*100</f>
        <v>116.00487053713566</v>
      </c>
      <c r="O71" s="264">
        <f>(N71-100)/100*P71*0.6611</f>
        <v>9.734354319132354</v>
      </c>
      <c r="P71" s="276">
        <v>92</v>
      </c>
      <c r="Q71" s="276">
        <f>P71-W71-Z71-AA71-AB71</f>
        <v>87</v>
      </c>
      <c r="R71" s="276">
        <v>6</v>
      </c>
      <c r="S71" s="276">
        <v>14</v>
      </c>
      <c r="T71" s="276">
        <v>2</v>
      </c>
      <c r="U71" s="276">
        <v>0</v>
      </c>
      <c r="V71" s="276">
        <v>1</v>
      </c>
      <c r="W71" s="276">
        <v>3</v>
      </c>
      <c r="X71" s="277">
        <v>37</v>
      </c>
      <c r="Y71" s="276">
        <f>S71+T71+U71*2+V71*3</f>
        <v>19</v>
      </c>
      <c r="Z71" s="276">
        <v>0</v>
      </c>
      <c r="AA71" s="276">
        <v>1</v>
      </c>
      <c r="AB71" s="276">
        <v>1</v>
      </c>
      <c r="AC71" s="9"/>
      <c r="AD71" s="37"/>
      <c r="AE71" s="37"/>
    </row>
    <row r="72" spans="1:31" x14ac:dyDescent="0.2">
      <c r="A72" s="9"/>
      <c r="B72" s="251">
        <v>1976</v>
      </c>
      <c r="C72" s="259" t="s">
        <v>514</v>
      </c>
      <c r="D72" s="250">
        <f>(S72-V72)/(Q72-V72-X72+AB72)</f>
        <v>0.27037773359840955</v>
      </c>
      <c r="E72" s="250">
        <f>Y72/P72</f>
        <v>0.29445234708392604</v>
      </c>
      <c r="F72" s="250">
        <f>(T72+U72+V72)/S72</f>
        <v>0.24827586206896551</v>
      </c>
      <c r="G72" s="250">
        <f>(Y72+R72)/P72</f>
        <v>0.3840682788051209</v>
      </c>
      <c r="H72" s="250">
        <f>(Y72/Q72)+((S72+W72+Z72)/(Q72+W72+Z72+AB72))</f>
        <v>0.63934647206470197</v>
      </c>
      <c r="I72" s="250">
        <f>V72/Y72</f>
        <v>4.3478260869565216E-2</v>
      </c>
      <c r="J72" s="250">
        <f>(AA72+AB72)/Y72</f>
        <v>7.7294685990338161E-2</v>
      </c>
      <c r="K72" s="250">
        <f>X72/P72</f>
        <v>0.16358463726884778</v>
      </c>
      <c r="L72" s="250">
        <f>(W72+Z72)/P72</f>
        <v>9.5305832147937405E-2</v>
      </c>
      <c r="M72" s="260">
        <f>(1-D72*0.7635+1-E72*0.7562+1-F72*0.75+1-G72*0.7248+1-H72*0.7021+1-I72*0.6285+J72*0.5884+K72*0.5276+1-L72*0.3663)/11.068</f>
        <v>0.51743655828098079</v>
      </c>
      <c r="N72" s="266">
        <f>M72/0.5072*100</f>
        <v>102.01824887243312</v>
      </c>
      <c r="O72" s="264">
        <f>(N72-100)/100*P72*0.6611</f>
        <v>9.3798782368457125</v>
      </c>
      <c r="P72" s="276">
        <v>703</v>
      </c>
      <c r="Q72" s="276">
        <f>P72-W72-Z72-AA72-AB72</f>
        <v>620</v>
      </c>
      <c r="R72" s="276">
        <v>63</v>
      </c>
      <c r="S72" s="276">
        <v>145</v>
      </c>
      <c r="T72" s="276">
        <v>19</v>
      </c>
      <c r="U72" s="276">
        <v>8</v>
      </c>
      <c r="V72" s="276">
        <v>9</v>
      </c>
      <c r="W72" s="276">
        <v>62</v>
      </c>
      <c r="X72" s="277">
        <v>115</v>
      </c>
      <c r="Y72" s="276">
        <f>S72+T72+U72*2+V72*3</f>
        <v>207</v>
      </c>
      <c r="Z72" s="276">
        <v>5</v>
      </c>
      <c r="AA72" s="276">
        <v>9</v>
      </c>
      <c r="AB72" s="276">
        <v>7</v>
      </c>
      <c r="AC72" s="9"/>
      <c r="AD72" s="37"/>
      <c r="AE72" s="37"/>
    </row>
    <row r="73" spans="1:31" x14ac:dyDescent="0.2">
      <c r="A73" s="9"/>
      <c r="B73" s="251">
        <v>1980</v>
      </c>
      <c r="C73" s="259" t="s">
        <v>510</v>
      </c>
      <c r="D73" s="250">
        <f>(S73-V73)/(Q73-V73-X73+AB73)</f>
        <v>0.27555555555555555</v>
      </c>
      <c r="E73" s="250">
        <f>Y73/P73</f>
        <v>0.32386363636363635</v>
      </c>
      <c r="F73" s="250">
        <f>(T73+U73+V73)/S73</f>
        <v>0.22480620155038761</v>
      </c>
      <c r="G73" s="250">
        <f>(Y73+R73)/P73</f>
        <v>0.4128787878787879</v>
      </c>
      <c r="H73" s="250">
        <f>(Y73/Q73)+((S73+W73+Z73)/(Q73+W73+Z73+AB73))</f>
        <v>0.65305244037276888</v>
      </c>
      <c r="I73" s="250">
        <f>V73/Y73</f>
        <v>2.9239766081871343E-2</v>
      </c>
      <c r="J73" s="250">
        <f>(AA73+AB73)/Y73</f>
        <v>7.6023391812865493E-2</v>
      </c>
      <c r="K73" s="250">
        <f>X73/P73</f>
        <v>7.0075757575757569E-2</v>
      </c>
      <c r="L73" s="250">
        <f>(W73+Z73)/P73</f>
        <v>5.3030303030303032E-2</v>
      </c>
      <c r="M73" s="260">
        <f>(1-D73*0.7635+1-E73*0.7562+1-F73*0.75+1-G73*0.7248+1-H73*0.7021+1-I73*0.6285+J73*0.5884+K73*0.5276+1-L73*0.3663)/11.068</f>
        <v>0.51158676156209781</v>
      </c>
      <c r="N73" s="266">
        <f>M73/0.4984*100</f>
        <v>102.64581893300517</v>
      </c>
      <c r="O73" s="264">
        <f>(N73-100)/100*P73*0.6611</f>
        <v>9.2355167340993241</v>
      </c>
      <c r="P73" s="276">
        <v>528</v>
      </c>
      <c r="Q73" s="276">
        <f>P73-W73-Z73-AA73-AB73</f>
        <v>487</v>
      </c>
      <c r="R73" s="276">
        <v>47</v>
      </c>
      <c r="S73" s="276">
        <v>129</v>
      </c>
      <c r="T73" s="276">
        <v>21</v>
      </c>
      <c r="U73" s="276">
        <v>3</v>
      </c>
      <c r="V73" s="276">
        <v>5</v>
      </c>
      <c r="W73" s="276">
        <v>27</v>
      </c>
      <c r="X73" s="277">
        <v>37</v>
      </c>
      <c r="Y73" s="276">
        <f>S73+T73+U73*2+V73*3</f>
        <v>171</v>
      </c>
      <c r="Z73" s="276">
        <v>1</v>
      </c>
      <c r="AA73" s="276">
        <v>8</v>
      </c>
      <c r="AB73" s="276">
        <v>5</v>
      </c>
      <c r="AC73" s="9"/>
      <c r="AD73" s="37"/>
      <c r="AE73" s="37"/>
    </row>
    <row r="74" spans="1:31" x14ac:dyDescent="0.2">
      <c r="A74" s="9"/>
      <c r="B74" s="251">
        <v>2000</v>
      </c>
      <c r="C74" s="259" t="s">
        <v>492</v>
      </c>
      <c r="D74" s="250">
        <f>(S74-V74)/(Q74-V74-X74+AB74)</f>
        <v>0.35672514619883039</v>
      </c>
      <c r="E74" s="250">
        <f>Y74/P74</f>
        <v>0.34317343173431736</v>
      </c>
      <c r="F74" s="250">
        <f>(T74+U74+V74)/S74</f>
        <v>0.17910447761194029</v>
      </c>
      <c r="G74" s="250">
        <f>(Y74+R74)/P74</f>
        <v>0.44649446494464945</v>
      </c>
      <c r="H74" s="250">
        <f>(Y74/Q74)+((S74+W74+Z74)/(Q74+W74+Z74+AB74))</f>
        <v>0.72716049382716053</v>
      </c>
      <c r="I74" s="250">
        <f>V74/Y74</f>
        <v>6.4516129032258063E-2</v>
      </c>
      <c r="J74" s="250">
        <f>(AA74+AB74)/Y74</f>
        <v>2.1505376344086023E-2</v>
      </c>
      <c r="K74" s="250">
        <f>X74/P74</f>
        <v>0.24723247232472326</v>
      </c>
      <c r="L74" s="250">
        <f>(W74+Z74)/P74</f>
        <v>9.5940959409594101E-2</v>
      </c>
      <c r="M74" s="260">
        <f>(1-D74*0.7635+1-E74*0.7562+1-F74*0.75+1-G74*0.7248+1-H74*0.7021+1-I74*0.6285+J74*0.5884+K74*0.5276+1-L74*0.3663)/11.068</f>
        <v>0.50298588073669059</v>
      </c>
      <c r="N74" s="266">
        <f>M74/0.4815*100</f>
        <v>104.46228052683087</v>
      </c>
      <c r="O74" s="264">
        <f>(N74-100)/100*P74*0.6611</f>
        <v>7.9945370085401724</v>
      </c>
      <c r="P74" s="276">
        <v>271</v>
      </c>
      <c r="Q74" s="276">
        <f>P74-W74-Z74-AA74-AB74</f>
        <v>243</v>
      </c>
      <c r="R74" s="276">
        <v>28</v>
      </c>
      <c r="S74" s="276">
        <v>67</v>
      </c>
      <c r="T74" s="276">
        <v>4</v>
      </c>
      <c r="U74" s="276">
        <v>2</v>
      </c>
      <c r="V74" s="276">
        <v>6</v>
      </c>
      <c r="W74" s="276">
        <v>25</v>
      </c>
      <c r="X74" s="277">
        <v>67</v>
      </c>
      <c r="Y74" s="276">
        <f>S74+T74+U74*2+V74*3</f>
        <v>93</v>
      </c>
      <c r="Z74" s="276">
        <v>1</v>
      </c>
      <c r="AA74" s="276">
        <v>1</v>
      </c>
      <c r="AB74" s="276">
        <v>1</v>
      </c>
      <c r="AC74" s="9"/>
      <c r="AD74" s="37"/>
      <c r="AE74" s="37"/>
    </row>
    <row r="75" spans="1:31" x14ac:dyDescent="0.2">
      <c r="A75" s="9"/>
      <c r="B75" s="251">
        <v>2010</v>
      </c>
      <c r="C75" s="259" t="s">
        <v>482</v>
      </c>
      <c r="D75" s="250">
        <f>(S75-V75)/(Q75-V75-X75+AB75)</f>
        <v>0.19875776397515527</v>
      </c>
      <c r="E75" s="250">
        <f>Y75/P75</f>
        <v>0.27426160337552741</v>
      </c>
      <c r="F75" s="250">
        <f>(T75+U75+V75)/S75</f>
        <v>0.52777777777777779</v>
      </c>
      <c r="G75" s="250">
        <f>(Y75+R75)/P75</f>
        <v>0.33333333333333331</v>
      </c>
      <c r="H75" s="250">
        <f>(Y75/Q75)+((S75+W75+Z75)/(Q75+W75+Z75+AB75))</f>
        <v>0.50930752047654504</v>
      </c>
      <c r="I75" s="250">
        <f>V75/Y75</f>
        <v>6.1538461538461542E-2</v>
      </c>
      <c r="J75" s="250">
        <f>(AA75+AB75)/Y75</f>
        <v>1.5384615384615385E-2</v>
      </c>
      <c r="K75" s="250">
        <f>X75/P75</f>
        <v>0.24050632911392406</v>
      </c>
      <c r="L75" s="250">
        <f>(W75+Z75)/P75</f>
        <v>6.3291139240506333E-2</v>
      </c>
      <c r="M75" s="260">
        <f>(1-D75*0.7635+1-E75*0.7562+1-F75*0.75+1-G75*0.7248+1-H75*0.7021+1-I75*0.6285+J75*0.5884+K75*0.5276+1-L75*0.3663)/11.068</f>
        <v>0.5167976742703807</v>
      </c>
      <c r="N75" s="266">
        <f>M75/0.4924*100</f>
        <v>104.95484855206756</v>
      </c>
      <c r="O75" s="264">
        <f>(N75-100)/100*P75*0.6611</f>
        <v>7.7632913953193166</v>
      </c>
      <c r="P75" s="276">
        <v>237</v>
      </c>
      <c r="Q75" s="276">
        <f>P75-W75-Z75-AA75-AB75</f>
        <v>221</v>
      </c>
      <c r="R75" s="276">
        <v>14</v>
      </c>
      <c r="S75" s="276">
        <v>36</v>
      </c>
      <c r="T75" s="276">
        <v>13</v>
      </c>
      <c r="U75" s="276">
        <v>2</v>
      </c>
      <c r="V75" s="276">
        <v>4</v>
      </c>
      <c r="W75" s="276">
        <v>14</v>
      </c>
      <c r="X75" s="277">
        <v>57</v>
      </c>
      <c r="Y75" s="276">
        <f>S75+T75+U75*2+V75*3</f>
        <v>65</v>
      </c>
      <c r="Z75" s="276">
        <v>1</v>
      </c>
      <c r="AA75" s="276">
        <v>0</v>
      </c>
      <c r="AB75" s="276">
        <v>1</v>
      </c>
      <c r="AC75" s="9"/>
      <c r="AD75" s="37"/>
      <c r="AE75" s="37"/>
    </row>
    <row r="76" spans="1:31" x14ac:dyDescent="0.2">
      <c r="A76" s="9"/>
      <c r="B76" s="251">
        <v>2019</v>
      </c>
      <c r="C76" s="259" t="s">
        <v>472</v>
      </c>
      <c r="D76" s="250">
        <f>(S76-V76)/(Q76-V76-X76+AB76)</f>
        <v>0.23423423423423423</v>
      </c>
      <c r="E76" s="250">
        <f>Y76/P76</f>
        <v>0.33564013840830448</v>
      </c>
      <c r="F76" s="250">
        <f>(T76+U76+V76)/S76</f>
        <v>0.58536585365853655</v>
      </c>
      <c r="G76" s="250">
        <f>(Y76+R76)/P76</f>
        <v>0.41868512110726641</v>
      </c>
      <c r="H76" s="250">
        <f>(Y76/Q76)+((S76+W76+Z76)/(Q76+W76+Z76+AB76))</f>
        <v>0.59592345207803221</v>
      </c>
      <c r="I76" s="250">
        <f>V76/Y76</f>
        <v>0.15463917525773196</v>
      </c>
      <c r="J76" s="250">
        <f>(AA76+AB76)/Y76</f>
        <v>3.0927835051546393E-2</v>
      </c>
      <c r="K76" s="250">
        <f>X76/P76</f>
        <v>0.47750865051903113</v>
      </c>
      <c r="L76" s="250">
        <f>(W76+Z76)/P76</f>
        <v>8.3044982698961933E-2</v>
      </c>
      <c r="M76" s="260">
        <f>(1-D76*0.7635+1-E76*0.7562+1-F76*0.75+1-G76*0.7248+1-H76*0.7021+1-I76*0.6285+J76*0.5884+K76*0.5276+1-L76*0.3663)/11.068</f>
        <v>0.50135410834093097</v>
      </c>
      <c r="N76" s="266">
        <f>M76/0.4819*100</f>
        <v>104.03695960592052</v>
      </c>
      <c r="O76" s="264">
        <f>(N76-100)/100*P76*0.6611</f>
        <v>7.7129302469200116</v>
      </c>
      <c r="P76" s="276">
        <v>289</v>
      </c>
      <c r="Q76" s="276">
        <f>P76-W76-Z76-AA76-AB76</f>
        <v>262</v>
      </c>
      <c r="R76" s="276">
        <v>24</v>
      </c>
      <c r="S76" s="276">
        <v>41</v>
      </c>
      <c r="T76" s="276">
        <v>7</v>
      </c>
      <c r="U76" s="276">
        <v>2</v>
      </c>
      <c r="V76" s="276">
        <v>15</v>
      </c>
      <c r="W76" s="276">
        <v>20</v>
      </c>
      <c r="X76" s="277">
        <v>138</v>
      </c>
      <c r="Y76" s="276">
        <f>S76+T76+U76*2+V76*3</f>
        <v>97</v>
      </c>
      <c r="Z76" s="276">
        <v>4</v>
      </c>
      <c r="AA76" s="276">
        <v>1</v>
      </c>
      <c r="AB76" s="276">
        <v>2</v>
      </c>
      <c r="AC76" s="9"/>
      <c r="AD76" s="37"/>
      <c r="AE76" s="37"/>
    </row>
    <row r="77" spans="1:31" x14ac:dyDescent="0.2">
      <c r="A77" s="9"/>
      <c r="B77" s="251">
        <v>2001</v>
      </c>
      <c r="C77" s="259" t="s">
        <v>491</v>
      </c>
      <c r="D77" s="250">
        <f>(S77-V77)/(Q77-V77-X77+AB77)</f>
        <v>0.27325581395348836</v>
      </c>
      <c r="E77" s="250">
        <f>Y77/P77</f>
        <v>0.32187500000000002</v>
      </c>
      <c r="F77" s="250">
        <f>(T77+U77+V77)/S77</f>
        <v>0.33898305084745761</v>
      </c>
      <c r="G77" s="250">
        <f>(Y77+R77)/P77</f>
        <v>0.421875</v>
      </c>
      <c r="H77" s="250">
        <f>(Y77/Q77)+((S77+W77+Z77)/(Q77+W77+Z77+AB77))</f>
        <v>0.68765381460213293</v>
      </c>
      <c r="I77" s="250">
        <f>V77/Y77</f>
        <v>0.11650485436893204</v>
      </c>
      <c r="J77" s="250">
        <f>(AA77+AB77)/Y77</f>
        <v>2.9126213592233011E-2</v>
      </c>
      <c r="K77" s="250">
        <f>X77/P77</f>
        <v>0.29062500000000002</v>
      </c>
      <c r="L77" s="250">
        <f>(W77+Z77)/P77</f>
        <v>0.12812499999999999</v>
      </c>
      <c r="M77" s="260">
        <f>(1-D77*0.7635+1-E77*0.7562+1-F77*0.75+1-G77*0.7248+1-H77*0.7021+1-I77*0.6285+J77*0.5884+K77*0.5276+1-L77*0.3663)/11.068</f>
        <v>0.50193977279414137</v>
      </c>
      <c r="N77" s="266">
        <f>M77/0.485*100</f>
        <v>103.49273665858586</v>
      </c>
      <c r="O77" s="264">
        <f>(N77-100)/100*P77*0.6611</f>
        <v>7.388954255971548</v>
      </c>
      <c r="P77" s="276">
        <v>320</v>
      </c>
      <c r="Q77" s="276">
        <f>P77-W77-Z77-AA77-AB77</f>
        <v>276</v>
      </c>
      <c r="R77" s="276">
        <v>32</v>
      </c>
      <c r="S77" s="276">
        <v>59</v>
      </c>
      <c r="T77" s="276">
        <v>8</v>
      </c>
      <c r="U77" s="276">
        <v>0</v>
      </c>
      <c r="V77" s="276">
        <v>12</v>
      </c>
      <c r="W77" s="276">
        <v>40</v>
      </c>
      <c r="X77" s="277">
        <v>93</v>
      </c>
      <c r="Y77" s="276">
        <f>S77+T77+U77*2+V77*3</f>
        <v>103</v>
      </c>
      <c r="Z77" s="276">
        <v>1</v>
      </c>
      <c r="AA77" s="276">
        <v>2</v>
      </c>
      <c r="AB77" s="276">
        <v>1</v>
      </c>
      <c r="AC77" s="9"/>
      <c r="AD77" s="37"/>
      <c r="AE77" s="37"/>
    </row>
    <row r="78" spans="1:31" x14ac:dyDescent="0.2">
      <c r="A78" s="9"/>
      <c r="B78" s="251">
        <v>1992</v>
      </c>
      <c r="C78" s="259" t="s">
        <v>28</v>
      </c>
      <c r="D78" s="250">
        <f>(S78-V78)/(Q78-V78-X78+AB78)</f>
        <v>0.26605504587155965</v>
      </c>
      <c r="E78" s="250">
        <f>Y78/P78</f>
        <v>0.29032258064516131</v>
      </c>
      <c r="F78" s="250">
        <f>(T78+U78+V78)/S78</f>
        <v>0.25806451612903225</v>
      </c>
      <c r="G78" s="250">
        <f>(Y78+R78)/P78</f>
        <v>0.38064516129032255</v>
      </c>
      <c r="H78" s="250">
        <f>(Y78/Q78)+((S78+W78+Z78)/(Q78+W78+Z78+AB78))</f>
        <v>0.60599898322318246</v>
      </c>
      <c r="I78" s="250">
        <f>V78/Y78</f>
        <v>4.4444444444444446E-2</v>
      </c>
      <c r="J78" s="250">
        <f>(AA78+AB78)/Y78</f>
        <v>3.3333333333333333E-2</v>
      </c>
      <c r="K78" s="250">
        <f>X78/P78</f>
        <v>0.19354838709677419</v>
      </c>
      <c r="L78" s="250">
        <f>(W78+Z78)/P78</f>
        <v>8.387096774193549E-2</v>
      </c>
      <c r="M78" s="260">
        <f>(1-D78*0.7635+1-E78*0.7562+1-F78*0.75+1-G78*0.7248+1-H78*0.7021+1-I78*0.6285+J78*0.5884+K78*0.5276+1-L78*0.3663)/11.068</f>
        <v>0.51910800003800006</v>
      </c>
      <c r="N78" s="266">
        <f>M78/0.5012*100</f>
        <v>103.57302474820433</v>
      </c>
      <c r="O78" s="264">
        <f>(N78-100)/100*P78*0.6611</f>
        <v>7.3225926492174409</v>
      </c>
      <c r="P78" s="276">
        <v>310</v>
      </c>
      <c r="Q78" s="276">
        <f>P78-W78-Z78-AA78-AB78</f>
        <v>281</v>
      </c>
      <c r="R78" s="276">
        <v>28</v>
      </c>
      <c r="S78" s="276">
        <v>62</v>
      </c>
      <c r="T78" s="276">
        <v>8</v>
      </c>
      <c r="U78" s="276">
        <v>4</v>
      </c>
      <c r="V78" s="276">
        <v>4</v>
      </c>
      <c r="W78" s="276">
        <v>26</v>
      </c>
      <c r="X78" s="277">
        <v>60</v>
      </c>
      <c r="Y78" s="276">
        <f>S78+T78+U78*2+V78*3</f>
        <v>90</v>
      </c>
      <c r="Z78" s="276">
        <v>0</v>
      </c>
      <c r="AA78" s="276">
        <v>2</v>
      </c>
      <c r="AB78" s="276">
        <v>1</v>
      </c>
      <c r="AC78" s="9"/>
      <c r="AD78" s="37"/>
      <c r="AE78" s="37"/>
    </row>
    <row r="79" spans="1:31" x14ac:dyDescent="0.2">
      <c r="A79" s="9"/>
      <c r="B79" s="251">
        <v>1991</v>
      </c>
      <c r="C79" s="259" t="s">
        <v>28</v>
      </c>
      <c r="D79" s="250">
        <f>(S79-V79)/(Q79-V79-X79+AB79)</f>
        <v>0.30952380952380953</v>
      </c>
      <c r="E79" s="250">
        <f>Y79/P79</f>
        <v>0.33</v>
      </c>
      <c r="F79" s="250">
        <f>(T79+U79+V79)/S79</f>
        <v>0.22857142857142856</v>
      </c>
      <c r="G79" s="250">
        <f>(Y79+R79)/P79</f>
        <v>0.39333333333333331</v>
      </c>
      <c r="H79" s="250">
        <f>(Y79/Q79)+((S79+W79+Z79)/(Q79+W79+Z79+AB79))</f>
        <v>0.63366909946317629</v>
      </c>
      <c r="I79" s="250">
        <f>V79/Y79</f>
        <v>5.0505050505050504E-2</v>
      </c>
      <c r="J79" s="250">
        <f>(AA79+AB79)/Y79</f>
        <v>6.0606060606060608E-2</v>
      </c>
      <c r="K79" s="250">
        <f>X79/P79</f>
        <v>0.22333333333333333</v>
      </c>
      <c r="L79" s="250">
        <f>(W79+Z79)/P79</f>
        <v>4.3333333333333335E-2</v>
      </c>
      <c r="M79" s="260">
        <f>(1-D79*0.7635+1-E79*0.7562+1-F79*0.75+1-G79*0.7248+1-H79*0.7021+1-I79*0.6285+J79*0.5884+K79*0.5276+1-L79*0.3663)/11.068</f>
        <v>0.51667806051244602</v>
      </c>
      <c r="N79" s="266">
        <f>M79/0.4986*100</f>
        <v>103.62576424236785</v>
      </c>
      <c r="O79" s="264">
        <f>(N79-100)/100*P79*0.6611</f>
        <v>7.1909782218881579</v>
      </c>
      <c r="P79" s="276">
        <v>300</v>
      </c>
      <c r="Q79" s="276">
        <f>P79-W79-Z79-AA79-AB79</f>
        <v>281</v>
      </c>
      <c r="R79" s="276">
        <v>19</v>
      </c>
      <c r="S79" s="276">
        <v>70</v>
      </c>
      <c r="T79" s="276">
        <v>8</v>
      </c>
      <c r="U79" s="276">
        <v>3</v>
      </c>
      <c r="V79" s="276">
        <v>5</v>
      </c>
      <c r="W79" s="276">
        <v>13</v>
      </c>
      <c r="X79" s="277">
        <v>67</v>
      </c>
      <c r="Y79" s="276">
        <f>S79+T79+U79*2+V79*3</f>
        <v>99</v>
      </c>
      <c r="Z79" s="276">
        <v>0</v>
      </c>
      <c r="AA79" s="276">
        <v>5</v>
      </c>
      <c r="AB79" s="276">
        <v>1</v>
      </c>
      <c r="AC79" s="9"/>
      <c r="AD79" s="37"/>
      <c r="AE79" s="37"/>
    </row>
    <row r="80" spans="1:31" x14ac:dyDescent="0.2">
      <c r="A80" s="9"/>
      <c r="B80" s="251">
        <v>1983</v>
      </c>
      <c r="C80" s="259" t="s">
        <v>512</v>
      </c>
      <c r="D80" s="250">
        <f>(S80-V80)/(Q80-V80-X80+AB80)</f>
        <v>0.2412280701754386</v>
      </c>
      <c r="E80" s="250">
        <f>Y80/P80</f>
        <v>0.30458221024258758</v>
      </c>
      <c r="F80" s="250">
        <f>(T80+U80+V80)/S80</f>
        <v>0.46031746031746029</v>
      </c>
      <c r="G80" s="250">
        <f>(Y80+R80)/P80</f>
        <v>0.3746630727762803</v>
      </c>
      <c r="H80" s="250">
        <f>(Y80/Q80)+((S80+W80+Z80)/(Q80+W80+Z80+AB80))</f>
        <v>0.59141179349155859</v>
      </c>
      <c r="I80" s="250">
        <f>V80/Y80</f>
        <v>7.0796460176991149E-2</v>
      </c>
      <c r="J80" s="250">
        <f>(AA80+AB80)/Y80</f>
        <v>5.3097345132743362E-2</v>
      </c>
      <c r="K80" s="250">
        <f>X80/P80</f>
        <v>0.26954177897574122</v>
      </c>
      <c r="L80" s="250">
        <f>(W80+Z80)/P80</f>
        <v>8.0862533692722366E-2</v>
      </c>
      <c r="M80" s="260">
        <f>(1-D80*0.7635+1-E80*0.7562+1-F80*0.75+1-G80*0.7248+1-H80*0.7021+1-I80*0.6285+J80*0.5884+K80*0.5276+1-L80*0.3663)/11.068</f>
        <v>0.51073458525385496</v>
      </c>
      <c r="N80" s="266">
        <f>M80/0.4973*100</f>
        <v>102.70150517873616</v>
      </c>
      <c r="O80" s="264">
        <f>(N80-100)/100*P80*0.6611</f>
        <v>6.6259304232877732</v>
      </c>
      <c r="P80" s="276">
        <v>371</v>
      </c>
      <c r="Q80" s="276">
        <f>P80-W80-Z80-AA80-AB80</f>
        <v>335</v>
      </c>
      <c r="R80" s="276">
        <v>26</v>
      </c>
      <c r="S80" s="276">
        <v>63</v>
      </c>
      <c r="T80" s="276">
        <v>16</v>
      </c>
      <c r="U80" s="276">
        <v>5</v>
      </c>
      <c r="V80" s="276">
        <v>8</v>
      </c>
      <c r="W80" s="276">
        <v>30</v>
      </c>
      <c r="X80" s="277">
        <v>100</v>
      </c>
      <c r="Y80" s="276">
        <f>S80+T80+U80*2+V80*3</f>
        <v>113</v>
      </c>
      <c r="Z80" s="276">
        <v>0</v>
      </c>
      <c r="AA80" s="276">
        <v>5</v>
      </c>
      <c r="AB80" s="276">
        <v>1</v>
      </c>
      <c r="AC80" s="9"/>
      <c r="AD80" s="37"/>
      <c r="AE80" s="37"/>
    </row>
    <row r="81" spans="1:31" x14ac:dyDescent="0.2">
      <c r="A81" s="9"/>
      <c r="B81" s="251">
        <v>1984</v>
      </c>
      <c r="C81" s="259" t="s">
        <v>59</v>
      </c>
      <c r="D81" s="250">
        <f>(S81-V81)/(Q81-V81-X81+AB81)</f>
        <v>0.3003003003003003</v>
      </c>
      <c r="E81" s="250">
        <f>Y81/P81</f>
        <v>0.34228187919463088</v>
      </c>
      <c r="F81" s="250">
        <f>(T81+U81+V81)/S81</f>
        <v>0.22935779816513763</v>
      </c>
      <c r="G81" s="250">
        <f>(Y81+R81)/P81</f>
        <v>0.40044742729306487</v>
      </c>
      <c r="H81" s="250">
        <f>(Y81/Q81)+((S81+W81+Z81)/(Q81+W81+Z81+AB81))</f>
        <v>0.66890043242949226</v>
      </c>
      <c r="I81" s="250">
        <f>V81/Y81</f>
        <v>5.8823529411764705E-2</v>
      </c>
      <c r="J81" s="250">
        <f>(AA81+AB81)/Y81</f>
        <v>5.2287581699346407E-2</v>
      </c>
      <c r="K81" s="250">
        <f>X81/P81</f>
        <v>0.17225950782997762</v>
      </c>
      <c r="L81" s="250">
        <f>(W81+Z81)/P81</f>
        <v>5.3691275167785234E-2</v>
      </c>
      <c r="M81" s="260">
        <f>(1-D81*0.7635+1-E81*0.7562+1-F81*0.75+1-G81*0.7248+1-H81*0.7021+1-I81*0.6285+J81*0.5884+K81*0.5276+1-L81*0.3663)/11.068</f>
        <v>0.51002908865313201</v>
      </c>
      <c r="N81" s="266">
        <f>M81/0.499*100</f>
        <v>102.21023820704049</v>
      </c>
      <c r="O81" s="264">
        <f>(N81-100)/100*P81*0.6611</f>
        <v>6.5315124996748724</v>
      </c>
      <c r="P81" s="276">
        <v>447</v>
      </c>
      <c r="Q81" s="276">
        <f>P81-W81-Z81-AA81-AB81</f>
        <v>415</v>
      </c>
      <c r="R81" s="276">
        <v>26</v>
      </c>
      <c r="S81" s="276">
        <v>109</v>
      </c>
      <c r="T81" s="276">
        <v>15</v>
      </c>
      <c r="U81" s="276">
        <v>1</v>
      </c>
      <c r="V81" s="276">
        <v>9</v>
      </c>
      <c r="W81" s="276">
        <v>23</v>
      </c>
      <c r="X81" s="277">
        <v>77</v>
      </c>
      <c r="Y81" s="276">
        <f>S81+T81+U81*2+V81*3</f>
        <v>153</v>
      </c>
      <c r="Z81" s="276">
        <v>1</v>
      </c>
      <c r="AA81" s="276">
        <v>4</v>
      </c>
      <c r="AB81" s="276">
        <v>4</v>
      </c>
      <c r="AC81" s="9"/>
      <c r="AD81" s="37"/>
      <c r="AE81" s="37"/>
    </row>
    <row r="82" spans="1:31" x14ac:dyDescent="0.2">
      <c r="A82" s="9"/>
      <c r="B82" s="251">
        <v>1985</v>
      </c>
      <c r="C82" s="259" t="s">
        <v>510</v>
      </c>
      <c r="D82" s="250">
        <f>(S82-V82)/(Q82-V82-X82+AB82)</f>
        <v>0.2984409799554566</v>
      </c>
      <c r="E82" s="250">
        <f>Y82/P82</f>
        <v>0.35902255639097747</v>
      </c>
      <c r="F82" s="250">
        <f>(T82+U82+V82)/S82</f>
        <v>0.21126760563380281</v>
      </c>
      <c r="G82" s="250">
        <f>(Y82+R82)/P82</f>
        <v>0.43609022556390975</v>
      </c>
      <c r="H82" s="250">
        <f>(Y82/Q82)+((S82+W82+Z82)/(Q82+W82+Z82+AB82))</f>
        <v>0.67712061560486758</v>
      </c>
      <c r="I82" s="250">
        <f>V82/Y82</f>
        <v>4.1884816753926704E-2</v>
      </c>
      <c r="J82" s="250">
        <f>(AA82+AB82)/Y82</f>
        <v>3.6649214659685861E-2</v>
      </c>
      <c r="K82" s="250">
        <f>X82/P82</f>
        <v>0.10150375939849623</v>
      </c>
      <c r="L82" s="250">
        <f>(W82+Z82)/P82</f>
        <v>3.1954887218045111E-2</v>
      </c>
      <c r="M82" s="260">
        <f>(1-D82*0.7635+1-E82*0.7562+1-F82*0.75+1-G82*0.7248+1-H82*0.7021+1-I82*0.6285+J82*0.5884+K82*0.5276+1-L82*0.3663)/11.068</f>
        <v>0.5048608844938105</v>
      </c>
      <c r="N82" s="266">
        <f>M82/0.4964*100</f>
        <v>101.70444893106578</v>
      </c>
      <c r="O82" s="264">
        <f>(N82-100)/100*P82*0.6611</f>
        <v>5.9946355219027785</v>
      </c>
      <c r="P82" s="276">
        <v>532</v>
      </c>
      <c r="Q82" s="276">
        <f>P82-W82-Z82-AA82-AB82</f>
        <v>508</v>
      </c>
      <c r="R82" s="276">
        <v>41</v>
      </c>
      <c r="S82" s="276">
        <v>142</v>
      </c>
      <c r="T82" s="276">
        <v>19</v>
      </c>
      <c r="U82" s="276">
        <v>3</v>
      </c>
      <c r="V82" s="276">
        <v>8</v>
      </c>
      <c r="W82" s="276">
        <v>16</v>
      </c>
      <c r="X82" s="277">
        <v>54</v>
      </c>
      <c r="Y82" s="276">
        <f>S82+T82+U82*2+V82*3</f>
        <v>191</v>
      </c>
      <c r="Z82" s="276">
        <v>1</v>
      </c>
      <c r="AA82" s="276">
        <v>4</v>
      </c>
      <c r="AB82" s="276">
        <v>3</v>
      </c>
      <c r="AC82" s="9"/>
      <c r="AD82" s="37"/>
      <c r="AE82" s="37"/>
    </row>
    <row r="83" spans="1:31" x14ac:dyDescent="0.2">
      <c r="A83" s="9"/>
      <c r="B83" s="251">
        <v>1990</v>
      </c>
      <c r="C83" s="259" t="s">
        <v>506</v>
      </c>
      <c r="D83" s="250">
        <f>(S83-V83)/(Q83-V83-X83+AB83)</f>
        <v>0.30541871921182268</v>
      </c>
      <c r="E83" s="250">
        <f>Y83/P83</f>
        <v>0.31707317073170732</v>
      </c>
      <c r="F83" s="250">
        <f>(T83+U83+V83)/S83</f>
        <v>0.24242424242424243</v>
      </c>
      <c r="G83" s="250">
        <f>(Y83+R83)/P83</f>
        <v>0.39372822299651566</v>
      </c>
      <c r="H83" s="250">
        <f>(Y83/Q83)+((S83+W83+Z83)/(Q83+W83+Z83+AB83))</f>
        <v>0.65366627244382325</v>
      </c>
      <c r="I83" s="250">
        <f>V83/Y83</f>
        <v>4.3956043956043959E-2</v>
      </c>
      <c r="J83" s="250">
        <f>(AA83+AB83)/Y83</f>
        <v>4.3956043956043959E-2</v>
      </c>
      <c r="K83" s="250">
        <f>X83/P83</f>
        <v>0.1951219512195122</v>
      </c>
      <c r="L83" s="250">
        <f>(W83+Z83)/P83</f>
        <v>7.3170731707317069E-2</v>
      </c>
      <c r="M83" s="260">
        <f>(1-D83*0.7635+1-E83*0.7562+1-F83*0.75+1-G83*0.7248+1-H83*0.7021+1-I83*0.6285+J83*0.5884+K83*0.5276+1-L83*0.3663)/11.068</f>
        <v>0.51276579811365908</v>
      </c>
      <c r="N83" s="266">
        <f>M83/0.4985*100</f>
        <v>102.86174485730373</v>
      </c>
      <c r="O83" s="264">
        <f>(N83-100)/100*P83*0.6611</f>
        <v>5.4297516372192405</v>
      </c>
      <c r="P83" s="276">
        <v>287</v>
      </c>
      <c r="Q83" s="276">
        <f>P83-W83-Z83-AA83-AB83</f>
        <v>262</v>
      </c>
      <c r="R83" s="276">
        <v>22</v>
      </c>
      <c r="S83" s="276">
        <v>66</v>
      </c>
      <c r="T83" s="276">
        <v>11</v>
      </c>
      <c r="U83" s="276">
        <v>1</v>
      </c>
      <c r="V83" s="276">
        <v>4</v>
      </c>
      <c r="W83" s="276">
        <v>21</v>
      </c>
      <c r="X83" s="277">
        <v>56</v>
      </c>
      <c r="Y83" s="276">
        <f>S83+T83+U83*2+V83*3</f>
        <v>91</v>
      </c>
      <c r="Z83" s="276">
        <v>0</v>
      </c>
      <c r="AA83" s="276">
        <v>3</v>
      </c>
      <c r="AB83" s="276">
        <v>1</v>
      </c>
      <c r="AC83" s="9"/>
      <c r="AD83" s="37"/>
      <c r="AE83" s="37"/>
    </row>
    <row r="84" spans="1:31" x14ac:dyDescent="0.2">
      <c r="A84" s="9"/>
      <c r="B84" s="251">
        <v>1993</v>
      </c>
      <c r="C84" s="259" t="s">
        <v>496</v>
      </c>
      <c r="D84" s="250">
        <f>(S84-V84)/(Q84-V84-X84+AB84)</f>
        <v>0.30208333333333331</v>
      </c>
      <c r="E84" s="250">
        <f>Y84/P84</f>
        <v>0.32907348242811502</v>
      </c>
      <c r="F84" s="250">
        <f>(T84+U84+V84)/S84</f>
        <v>0.35384615384615387</v>
      </c>
      <c r="G84" s="250">
        <f>(Y84+R84)/P84</f>
        <v>0.41214057507987223</v>
      </c>
      <c r="H84" s="250">
        <f>(Y84/Q84)+((S84+W84+Z84)/(Q84+W84+Z84+AB84))</f>
        <v>0.65882939204493973</v>
      </c>
      <c r="I84" s="250">
        <f>V84/Y84</f>
        <v>6.7961165048543687E-2</v>
      </c>
      <c r="J84" s="250">
        <f>(AA84+AB84)/Y84</f>
        <v>2.9126213592233011E-2</v>
      </c>
      <c r="K84" s="250">
        <f>X84/P84</f>
        <v>0.27476038338658149</v>
      </c>
      <c r="L84" s="250">
        <f>(W84+Z84)/P84</f>
        <v>8.6261980830670923E-2</v>
      </c>
      <c r="M84" s="260">
        <f>(1-D84*0.7635+1-E84*0.7562+1-F84*0.75+1-G84*0.7248+1-H84*0.7021+1-I84*0.6285+J84*0.5884+K84*0.5276+1-L84*0.3663)/11.068</f>
        <v>0.50430392787963019</v>
      </c>
      <c r="N84" s="266">
        <f>M84/0.493*100</f>
        <v>102.29288597964101</v>
      </c>
      <c r="O84" s="264">
        <f>(N84-100)/100*P84*0.6611</f>
        <v>4.7445382631703099</v>
      </c>
      <c r="P84" s="276">
        <v>313</v>
      </c>
      <c r="Q84" s="276">
        <f>P84-W84-Z84-AA84-AB84</f>
        <v>283</v>
      </c>
      <c r="R84" s="276">
        <v>26</v>
      </c>
      <c r="S84" s="276">
        <v>65</v>
      </c>
      <c r="T84" s="276">
        <v>15</v>
      </c>
      <c r="U84" s="276">
        <v>1</v>
      </c>
      <c r="V84" s="276">
        <v>7</v>
      </c>
      <c r="W84" s="276">
        <v>26</v>
      </c>
      <c r="X84" s="277">
        <v>86</v>
      </c>
      <c r="Y84" s="276">
        <f>S84+T84+U84*2+V84*3</f>
        <v>103</v>
      </c>
      <c r="Z84" s="276">
        <v>1</v>
      </c>
      <c r="AA84" s="276">
        <v>1</v>
      </c>
      <c r="AB84" s="276">
        <v>2</v>
      </c>
      <c r="AC84" s="9"/>
      <c r="AD84" s="37"/>
      <c r="AE84" s="37"/>
    </row>
    <row r="85" spans="1:31" x14ac:dyDescent="0.2">
      <c r="A85" s="9"/>
      <c r="B85" s="251">
        <v>1996</v>
      </c>
      <c r="C85" s="259" t="s">
        <v>498</v>
      </c>
      <c r="D85" s="250">
        <f>(S85-V85)/(Q85-V85-X85+AB85)</f>
        <v>0.27272727272727271</v>
      </c>
      <c r="E85" s="250">
        <f>Y85/P85</f>
        <v>0.35471698113207545</v>
      </c>
      <c r="F85" s="250">
        <f>(T85+U85+V85)/S85</f>
        <v>0.3888888888888889</v>
      </c>
      <c r="G85" s="250">
        <f>(Y85+R85)/P85</f>
        <v>0.44150943396226416</v>
      </c>
      <c r="H85" s="250">
        <f>(Y85/Q85)+((S85+W85+Z85)/(Q85+W85+Z85+AB85))</f>
        <v>0.67413240286684273</v>
      </c>
      <c r="I85" s="250">
        <f>V85/Y85</f>
        <v>9.5744680851063829E-2</v>
      </c>
      <c r="J85" s="250">
        <f>(AA85+AB85)/Y85</f>
        <v>3.1914893617021274E-2</v>
      </c>
      <c r="K85" s="250">
        <f>X85/P85</f>
        <v>0.26037735849056604</v>
      </c>
      <c r="L85" s="250">
        <f>(W85+Z85)/P85</f>
        <v>7.9245283018867921E-2</v>
      </c>
      <c r="M85" s="260">
        <f>(1-D85*0.7635+1-E85*0.7562+1-F85*0.75+1-G85*0.7248+1-H85*0.7021+1-I85*0.6285+J85*0.5884+K85*0.5276+1-L85*0.3663)/11.068</f>
        <v>0.49742549876621794</v>
      </c>
      <c r="N85" s="266">
        <f>M85/0.4852*100</f>
        <v>102.51968235082809</v>
      </c>
      <c r="O85" s="264">
        <f>(N85-100)/100*P85*0.6611</f>
        <v>4.4142693056509961</v>
      </c>
      <c r="P85" s="276">
        <v>265</v>
      </c>
      <c r="Q85" s="276">
        <f>P85-W85-Z85-AA85-AB85</f>
        <v>241</v>
      </c>
      <c r="R85" s="276">
        <v>23</v>
      </c>
      <c r="S85" s="276">
        <v>54</v>
      </c>
      <c r="T85" s="276">
        <v>11</v>
      </c>
      <c r="U85" s="276">
        <v>1</v>
      </c>
      <c r="V85" s="276">
        <v>9</v>
      </c>
      <c r="W85" s="276">
        <v>21</v>
      </c>
      <c r="X85" s="277">
        <v>69</v>
      </c>
      <c r="Y85" s="276">
        <f>S85+T85+U85*2+V85*3</f>
        <v>94</v>
      </c>
      <c r="Z85" s="276">
        <v>0</v>
      </c>
      <c r="AA85" s="276">
        <v>1</v>
      </c>
      <c r="AB85" s="276">
        <v>2</v>
      </c>
      <c r="AC85" s="9"/>
      <c r="AD85" s="37"/>
      <c r="AE85" s="37"/>
    </row>
    <row r="86" spans="1:31" x14ac:dyDescent="0.2">
      <c r="A86" s="9"/>
      <c r="B86" s="251">
        <v>1982</v>
      </c>
      <c r="C86" s="259" t="s">
        <v>59</v>
      </c>
      <c r="D86" s="250">
        <f>(S86-V86)/(Q86-V86-X86+AB86)</f>
        <v>0.25974025974025972</v>
      </c>
      <c r="E86" s="250">
        <f>Y86/P86</f>
        <v>0.32547169811320753</v>
      </c>
      <c r="F86" s="250">
        <f>(T86+U86+V86)/S86</f>
        <v>0.32954545454545453</v>
      </c>
      <c r="G86" s="250">
        <f>(Y86+R86)/P86</f>
        <v>0.41509433962264153</v>
      </c>
      <c r="H86" s="250">
        <f>(Y86/Q86)+((S86+W86+Z86)/(Q86+W86+Z86+AB86))</f>
        <v>0.66993236714975846</v>
      </c>
      <c r="I86" s="250">
        <f>V86/Y86</f>
        <v>5.7971014492753624E-2</v>
      </c>
      <c r="J86" s="250">
        <f>(AA86+AB86)/Y86</f>
        <v>8.6956521739130432E-2</v>
      </c>
      <c r="K86" s="250">
        <f>X86/P86</f>
        <v>0.14386792452830188</v>
      </c>
      <c r="L86" s="250">
        <f>(W86+Z86)/P86</f>
        <v>8.7264150943396221E-2</v>
      </c>
      <c r="M86" s="260">
        <f>(1-D86*0.7635+1-E86*0.7562+1-F86*0.75+1-G86*0.7248+1-H86*0.7021+1-I86*0.6285+J86*0.5884+K86*0.5276+1-L86*0.3663)/11.068</f>
        <v>0.50558889804886631</v>
      </c>
      <c r="N86" s="266">
        <f>M86/0.4978*100</f>
        <v>101.56466413195386</v>
      </c>
      <c r="O86" s="264">
        <f>(N86-100)/100*P86*0.6611</f>
        <v>4.3858537003711193</v>
      </c>
      <c r="P86" s="276">
        <v>424</v>
      </c>
      <c r="Q86" s="276">
        <f>P86-W86-Z86-AA86-AB86</f>
        <v>375</v>
      </c>
      <c r="R86" s="276">
        <v>38</v>
      </c>
      <c r="S86" s="276">
        <v>88</v>
      </c>
      <c r="T86" s="276">
        <v>16</v>
      </c>
      <c r="U86" s="276">
        <v>5</v>
      </c>
      <c r="V86" s="276">
        <v>8</v>
      </c>
      <c r="W86" s="276">
        <v>34</v>
      </c>
      <c r="X86" s="277">
        <v>61</v>
      </c>
      <c r="Y86" s="276">
        <f>S86+T86+U86*2+V86*3</f>
        <v>138</v>
      </c>
      <c r="Z86" s="276">
        <v>3</v>
      </c>
      <c r="AA86" s="276">
        <v>10</v>
      </c>
      <c r="AB86" s="276">
        <v>2</v>
      </c>
      <c r="AC86" s="9"/>
      <c r="AD86" s="37"/>
      <c r="AE86" s="37"/>
    </row>
    <row r="87" spans="1:31" x14ac:dyDescent="0.2">
      <c r="A87" s="9"/>
      <c r="B87" s="251">
        <v>1994</v>
      </c>
      <c r="C87" s="259" t="s">
        <v>28</v>
      </c>
      <c r="D87" s="250">
        <f>(S87-V87)/(Q87-V87-X87+AB87)</f>
        <v>0.29166666666666669</v>
      </c>
      <c r="E87" s="250">
        <f>Y87/P87</f>
        <v>0.36249999999999999</v>
      </c>
      <c r="F87" s="250">
        <f>(T87+U87+V87)/S87</f>
        <v>0.3235294117647059</v>
      </c>
      <c r="G87" s="250">
        <f>(Y87+R87)/P87</f>
        <v>0.46250000000000002</v>
      </c>
      <c r="H87" s="250">
        <f>(Y87/Q87)+((S87+W87+Z87)/(Q87+W87+Z87+AB87))</f>
        <v>0.69877328487051349</v>
      </c>
      <c r="I87" s="250">
        <f>V87/Y87</f>
        <v>0.10344827586206896</v>
      </c>
      <c r="J87" s="250">
        <f>(AA87+AB87)/Y87</f>
        <v>0.1206896551724138</v>
      </c>
      <c r="K87" s="250">
        <f>X87/P87</f>
        <v>0.26250000000000001</v>
      </c>
      <c r="L87" s="250">
        <f>(W87+Z87)/P87</f>
        <v>6.8750000000000006E-2</v>
      </c>
      <c r="M87" s="260">
        <f>(1-D87*0.7635+1-E87*0.7562+1-F87*0.75+1-G87*0.7248+1-H87*0.7021+1-I87*0.6285+J87*0.5884+K87*0.5276+1-L87*0.3663)/11.068</f>
        <v>0.50180905715513391</v>
      </c>
      <c r="N87" s="266">
        <f>M87/0.486*100</f>
        <v>103.25289241875184</v>
      </c>
      <c r="O87" s="264">
        <f>(N87-100)/100*P87*0.6611</f>
        <v>3.4407794848589472</v>
      </c>
      <c r="P87" s="276">
        <v>160</v>
      </c>
      <c r="Q87" s="276">
        <f>P87-W87-Z87-AA87-AB87</f>
        <v>142</v>
      </c>
      <c r="R87" s="276">
        <v>16</v>
      </c>
      <c r="S87" s="276">
        <v>34</v>
      </c>
      <c r="T87" s="276">
        <v>4</v>
      </c>
      <c r="U87" s="276">
        <v>1</v>
      </c>
      <c r="V87" s="276">
        <v>6</v>
      </c>
      <c r="W87" s="276">
        <v>11</v>
      </c>
      <c r="X87" s="277">
        <v>42</v>
      </c>
      <c r="Y87" s="276">
        <f>S87+T87+U87*2+V87*3</f>
        <v>58</v>
      </c>
      <c r="Z87" s="276">
        <v>0</v>
      </c>
      <c r="AA87" s="276">
        <v>5</v>
      </c>
      <c r="AB87" s="276">
        <v>2</v>
      </c>
      <c r="AC87" s="9"/>
      <c r="AD87" s="37"/>
      <c r="AE87" s="37"/>
    </row>
    <row r="88" spans="1:31" x14ac:dyDescent="0.2">
      <c r="A88" s="9"/>
      <c r="B88" s="251">
        <v>1981</v>
      </c>
      <c r="C88" s="259" t="s">
        <v>59</v>
      </c>
      <c r="D88" s="250">
        <f>(S88-V88)/(Q88-V88-X88+AB88)</f>
        <v>0.25213675213675213</v>
      </c>
      <c r="E88" s="250">
        <f>Y88/P88</f>
        <v>0.31402439024390244</v>
      </c>
      <c r="F88" s="250">
        <f>(T88+U88+V88)/S88</f>
        <v>0.375</v>
      </c>
      <c r="G88" s="250">
        <f>(Y88+R88)/P88</f>
        <v>0.38719512195121952</v>
      </c>
      <c r="H88" s="250">
        <f>(Y88/Q88)+((S88+W88+Z88)/(Q88+W88+Z88+AB88))</f>
        <v>0.62879440315566759</v>
      </c>
      <c r="I88" s="250">
        <f>V88/Y88</f>
        <v>4.8543689320388349E-2</v>
      </c>
      <c r="J88" s="250">
        <f>(AA88+AB88)/Y88</f>
        <v>9.7087378640776698E-2</v>
      </c>
      <c r="K88" s="250">
        <f>X88/P88</f>
        <v>0.17378048780487804</v>
      </c>
      <c r="L88" s="250">
        <f>(W88+Z88)/P88</f>
        <v>7.621951219512195E-2</v>
      </c>
      <c r="M88" s="260">
        <f>(1-D88*0.7635+1-E88*0.7562+1-F88*0.75+1-G88*0.7248+1-H88*0.7021+1-I88*0.6285+J88*0.5884+K88*0.5276+1-L88*0.3663)/11.068</f>
        <v>0.51111733410719751</v>
      </c>
      <c r="N88" s="266">
        <f>M88/0.5043*100</f>
        <v>101.35184098893465</v>
      </c>
      <c r="O88" s="264">
        <f>(N88-100)/100*P88*0.6611</f>
        <v>2.9313428151338159</v>
      </c>
      <c r="P88" s="276">
        <v>328</v>
      </c>
      <c r="Q88" s="276">
        <f>P88-W88-Z88-AA88-AB88</f>
        <v>293</v>
      </c>
      <c r="R88" s="276">
        <v>24</v>
      </c>
      <c r="S88" s="276">
        <v>64</v>
      </c>
      <c r="T88" s="276">
        <v>14</v>
      </c>
      <c r="U88" s="276">
        <v>5</v>
      </c>
      <c r="V88" s="276">
        <v>5</v>
      </c>
      <c r="W88" s="276">
        <v>24</v>
      </c>
      <c r="X88" s="277">
        <v>57</v>
      </c>
      <c r="Y88" s="276">
        <f>S88+T88+U88*2+V88*3</f>
        <v>103</v>
      </c>
      <c r="Z88" s="276">
        <v>1</v>
      </c>
      <c r="AA88" s="276">
        <v>7</v>
      </c>
      <c r="AB88" s="276">
        <v>3</v>
      </c>
      <c r="AC88" s="9"/>
      <c r="AD88" s="37"/>
      <c r="AE88" s="37"/>
    </row>
    <row r="89" spans="1:31" x14ac:dyDescent="0.2">
      <c r="A89" s="9"/>
      <c r="B89" s="251">
        <v>2000</v>
      </c>
      <c r="C89" s="259" t="s">
        <v>493</v>
      </c>
      <c r="D89" s="250">
        <f>(S89-V89)/(Q89-V89-X89+AB89)</f>
        <v>0.32751091703056767</v>
      </c>
      <c r="E89" s="250">
        <f>Y89/P89</f>
        <v>0.38585209003215432</v>
      </c>
      <c r="F89" s="250">
        <f>(T89+U89+V89)/S89</f>
        <v>0.26829268292682928</v>
      </c>
      <c r="G89" s="250">
        <f>(Y89+R89)/P89</f>
        <v>0.49839228295819937</v>
      </c>
      <c r="H89" s="250">
        <f>(Y89/Q89)+((S89+W89+Z89)/(Q89+W89+Z89+AB89))</f>
        <v>0.77293451229621435</v>
      </c>
      <c r="I89" s="250">
        <f>V89/Y89</f>
        <v>5.8333333333333334E-2</v>
      </c>
      <c r="J89" s="250">
        <f>(AA89+AB89)/Y89</f>
        <v>3.3333333333333333E-2</v>
      </c>
      <c r="K89" s="250">
        <f>X89/P89</f>
        <v>0.15112540192926044</v>
      </c>
      <c r="L89" s="250">
        <f>(W89+Z89)/P89</f>
        <v>8.0385852090032156E-2</v>
      </c>
      <c r="M89" s="260">
        <f>(1-D89*0.7635+1-E89*0.7562+1-F89*0.75+1-G89*0.7248+1-H89*0.7021+1-I89*0.6285+J89*0.5884+K89*0.5276+1-L89*0.3663)/11.068</f>
        <v>0.48665267095853654</v>
      </c>
      <c r="N89" s="266">
        <f>M89/0.4815*100</f>
        <v>101.07012896335131</v>
      </c>
      <c r="O89" s="264">
        <f>(N89-100)/100*P89*0.6611</f>
        <v>2.2002076213585204</v>
      </c>
      <c r="P89" s="276">
        <v>311</v>
      </c>
      <c r="Q89" s="276">
        <f>P89-W89-Z89-AA89-AB89</f>
        <v>282</v>
      </c>
      <c r="R89" s="276">
        <v>35</v>
      </c>
      <c r="S89" s="276">
        <v>82</v>
      </c>
      <c r="T89" s="276">
        <v>13</v>
      </c>
      <c r="U89" s="276">
        <v>2</v>
      </c>
      <c r="V89" s="276">
        <v>7</v>
      </c>
      <c r="W89" s="276">
        <v>24</v>
      </c>
      <c r="X89" s="277">
        <v>47</v>
      </c>
      <c r="Y89" s="276">
        <f>S89+T89+U89*2+V89*3</f>
        <v>120</v>
      </c>
      <c r="Z89" s="276">
        <v>1</v>
      </c>
      <c r="AA89" s="276">
        <v>3</v>
      </c>
      <c r="AB89" s="276">
        <v>1</v>
      </c>
      <c r="AC89" s="9"/>
      <c r="AD89" s="37"/>
      <c r="AE89" s="37"/>
    </row>
    <row r="90" spans="1:31" x14ac:dyDescent="0.2">
      <c r="A90" s="9"/>
      <c r="B90" s="268">
        <v>1994</v>
      </c>
      <c r="C90" s="269" t="s">
        <v>502</v>
      </c>
      <c r="D90" s="270">
        <f>(S90-V90)/(Q90-V90-X90+AB90)</f>
        <v>0.27464788732394368</v>
      </c>
      <c r="E90" s="270">
        <f>Y90/P90</f>
        <v>0.42028985507246375</v>
      </c>
      <c r="F90" s="270">
        <f>(T90+U90+V90)/S90</f>
        <v>0.34693877551020408</v>
      </c>
      <c r="G90" s="270">
        <f>(Y90+R90)/P90</f>
        <v>0.50241545893719808</v>
      </c>
      <c r="H90" s="270">
        <f>(Y90/Q90)+((S90+W90+Z90)/(Q90+W90+Z90+AB90))</f>
        <v>0.76668752607425938</v>
      </c>
      <c r="I90" s="270">
        <f>V90/Y90</f>
        <v>0.11494252873563218</v>
      </c>
      <c r="J90" s="270">
        <f>(AA90+AB90)/Y90</f>
        <v>6.8965517241379309E-2</v>
      </c>
      <c r="K90" s="270">
        <f>X90/P90</f>
        <v>0.18840579710144928</v>
      </c>
      <c r="L90" s="270">
        <f>(W90+Z90)/P90</f>
        <v>6.280193236714976E-2</v>
      </c>
      <c r="M90" s="271">
        <f>(1-D90*0.7635+1-E90*0.7562+1-F90*0.75+1-G90*0.7248+1-H90*0.7021+1-I90*0.6285+J90*0.5884+K90*0.5276+1-L90*0.3663)/11.068</f>
        <v>0.48378871639450854</v>
      </c>
      <c r="N90" s="272">
        <f>M90/0.486*100</f>
        <v>99.545003373355669</v>
      </c>
      <c r="O90" s="296">
        <f>(N90-100)/100*P90*0.6611</f>
        <v>-0.62265241864035359</v>
      </c>
      <c r="P90" s="276">
        <v>207</v>
      </c>
      <c r="Q90" s="276">
        <f>P90-W90-Z90-AA90-AB90</f>
        <v>188</v>
      </c>
      <c r="R90" s="276">
        <v>17</v>
      </c>
      <c r="S90" s="276">
        <v>49</v>
      </c>
      <c r="T90" s="276">
        <v>6</v>
      </c>
      <c r="U90" s="276">
        <v>1</v>
      </c>
      <c r="V90" s="276">
        <v>10</v>
      </c>
      <c r="W90" s="276">
        <v>13</v>
      </c>
      <c r="X90" s="277">
        <v>39</v>
      </c>
      <c r="Y90" s="276">
        <f>S90+T90+U90*2+V90*3</f>
        <v>87</v>
      </c>
      <c r="Z90" s="276">
        <v>0</v>
      </c>
      <c r="AA90" s="276">
        <v>3</v>
      </c>
      <c r="AB90" s="276">
        <v>3</v>
      </c>
      <c r="AC90" s="9"/>
      <c r="AD90" s="37"/>
      <c r="AE90" s="37"/>
    </row>
    <row r="91" spans="1:31" x14ac:dyDescent="0.2">
      <c r="A91" s="9"/>
      <c r="B91" s="267"/>
      <c r="C91" s="208"/>
      <c r="D91" s="204"/>
      <c r="E91" s="204"/>
      <c r="F91" s="204"/>
      <c r="G91" s="204"/>
      <c r="H91" s="204"/>
      <c r="I91" s="204"/>
      <c r="J91" s="204"/>
      <c r="K91" s="204"/>
      <c r="L91" s="204"/>
      <c r="M91" s="204"/>
      <c r="N91" s="201"/>
      <c r="O91" s="265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9"/>
      <c r="AD91" s="37"/>
      <c r="AE91" s="37"/>
    </row>
    <row r="92" spans="1:31" x14ac:dyDescent="0.2">
      <c r="A92" s="9"/>
      <c r="B92" s="267"/>
      <c r="C92" s="216" t="s">
        <v>621</v>
      </c>
      <c r="D92" s="214">
        <f>AVERAGE(D2:D90)</f>
        <v>0.2628447343748686</v>
      </c>
      <c r="E92" s="215">
        <f t="shared" ref="E92:O92" si="0">AVERAGE(E2:E90)</f>
        <v>0.26997288089768789</v>
      </c>
      <c r="F92" s="215">
        <f t="shared" si="0"/>
        <v>0.26436512968441622</v>
      </c>
      <c r="G92" s="215">
        <f t="shared" si="0"/>
        <v>0.33845093695935236</v>
      </c>
      <c r="H92" s="215">
        <f t="shared" si="0"/>
        <v>0.5617248024571142</v>
      </c>
      <c r="I92" s="215">
        <f t="shared" si="0"/>
        <v>6.1215814283621564E-2</v>
      </c>
      <c r="J92" s="215">
        <f t="shared" si="0"/>
        <v>5.1609924970389236E-2</v>
      </c>
      <c r="K92" s="215">
        <f t="shared" si="0"/>
        <v>0.26051127364860344</v>
      </c>
      <c r="L92" s="215">
        <f t="shared" si="0"/>
        <v>7.7438686052758429E-2</v>
      </c>
      <c r="M92" s="215">
        <f t="shared" si="0"/>
        <v>0.5292887224832461</v>
      </c>
      <c r="N92" s="245">
        <f t="shared" si="0"/>
        <v>107.68506059410063</v>
      </c>
      <c r="O92" s="246">
        <f t="shared" si="0"/>
        <v>15.503717020537852</v>
      </c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  <c r="AA92" s="278"/>
      <c r="AB92" s="278"/>
      <c r="AC92" s="9"/>
      <c r="AD92" s="37"/>
      <c r="AE92" s="37"/>
    </row>
    <row r="93" spans="1:31" x14ac:dyDescent="0.2">
      <c r="A93" s="9"/>
      <c r="B93" s="267"/>
      <c r="C93" s="208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1"/>
      <c r="O93" s="265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  <c r="AA93" s="278"/>
      <c r="AB93" s="278"/>
      <c r="AC93" s="9"/>
      <c r="AD93" s="37"/>
      <c r="AE93" s="37"/>
    </row>
    <row r="94" spans="1:31" x14ac:dyDescent="0.2">
      <c r="AD94" s="37"/>
      <c r="AE94" s="37"/>
    </row>
    <row r="95" spans="1:31" x14ac:dyDescent="0.2">
      <c r="AD95" s="37"/>
      <c r="AE95" s="37"/>
    </row>
    <row r="96" spans="1:31" x14ac:dyDescent="0.2">
      <c r="AD96" s="37"/>
      <c r="AE96" s="37"/>
    </row>
    <row r="97" spans="30:31" x14ac:dyDescent="0.2">
      <c r="AD97" s="37"/>
      <c r="AE97" s="37"/>
    </row>
    <row r="98" spans="30:31" x14ac:dyDescent="0.2">
      <c r="AD98" s="37"/>
      <c r="AE98" s="37"/>
    </row>
    <row r="99" spans="30:31" x14ac:dyDescent="0.2">
      <c r="AD99" s="37"/>
      <c r="AE99" s="37"/>
    </row>
    <row r="100" spans="30:31" x14ac:dyDescent="0.2">
      <c r="AD100" s="37"/>
      <c r="AE100" s="37"/>
    </row>
    <row r="101" spans="30:31" x14ac:dyDescent="0.2">
      <c r="AD101" s="37"/>
      <c r="AE101" s="37"/>
    </row>
    <row r="102" spans="30:31" x14ac:dyDescent="0.2">
      <c r="AD102" s="37"/>
      <c r="AE102" s="37"/>
    </row>
    <row r="103" spans="30:31" x14ac:dyDescent="0.2">
      <c r="AD103" s="37"/>
      <c r="AE103" s="37"/>
    </row>
    <row r="104" spans="30:31" x14ac:dyDescent="0.2">
      <c r="AD104" s="37"/>
      <c r="AE104" s="37"/>
    </row>
    <row r="105" spans="30:31" x14ac:dyDescent="0.2">
      <c r="AD105" s="37"/>
      <c r="AE105" s="37"/>
    </row>
    <row r="106" spans="30:31" x14ac:dyDescent="0.2">
      <c r="AD106" s="37"/>
      <c r="AE106" s="37"/>
    </row>
    <row r="107" spans="30:31" x14ac:dyDescent="0.2">
      <c r="AD107" s="37"/>
      <c r="AE107" s="37"/>
    </row>
    <row r="108" spans="30:31" x14ac:dyDescent="0.2">
      <c r="AD108" s="37"/>
      <c r="AE108" s="37"/>
    </row>
    <row r="109" spans="30:31" x14ac:dyDescent="0.2">
      <c r="AD109" s="37"/>
      <c r="AE109" s="37"/>
    </row>
    <row r="110" spans="30:31" x14ac:dyDescent="0.2">
      <c r="AD110" s="37"/>
      <c r="AE110" s="37"/>
    </row>
    <row r="111" spans="30:31" x14ac:dyDescent="0.2">
      <c r="AD111" s="37"/>
      <c r="AE111" s="37"/>
    </row>
    <row r="112" spans="30:31" x14ac:dyDescent="0.2">
      <c r="AD112" s="37"/>
      <c r="AE112" s="37"/>
    </row>
    <row r="113" spans="30:31" x14ac:dyDescent="0.2">
      <c r="AD113" s="37"/>
      <c r="AE113" s="37"/>
    </row>
    <row r="114" spans="30:31" x14ac:dyDescent="0.2">
      <c r="AD114" s="37"/>
      <c r="AE114" s="37"/>
    </row>
    <row r="115" spans="30:31" x14ac:dyDescent="0.2">
      <c r="AD115" s="37"/>
      <c r="AE115" s="37"/>
    </row>
    <row r="116" spans="30:31" x14ac:dyDescent="0.2">
      <c r="AD116" s="37"/>
      <c r="AE116" s="37"/>
    </row>
    <row r="117" spans="30:31" x14ac:dyDescent="0.2">
      <c r="AD117" s="37"/>
      <c r="AE117" s="37"/>
    </row>
    <row r="118" spans="30:31" x14ac:dyDescent="0.2">
      <c r="AD118" s="37"/>
      <c r="AE118" s="37"/>
    </row>
    <row r="119" spans="30:31" x14ac:dyDescent="0.2">
      <c r="AD119" s="37"/>
      <c r="AE119" s="37"/>
    </row>
    <row r="120" spans="30:31" x14ac:dyDescent="0.2">
      <c r="AD120" s="37"/>
      <c r="AE120" s="37"/>
    </row>
    <row r="121" spans="30:31" x14ac:dyDescent="0.2">
      <c r="AD121" s="37"/>
      <c r="AE121" s="37"/>
    </row>
    <row r="122" spans="30:31" x14ac:dyDescent="0.2">
      <c r="AD122" s="37"/>
      <c r="AE122" s="37"/>
    </row>
    <row r="123" spans="30:31" x14ac:dyDescent="0.2">
      <c r="AD123" s="37"/>
      <c r="AE123" s="37"/>
    </row>
    <row r="124" spans="30:31" x14ac:dyDescent="0.2">
      <c r="AD124" s="37"/>
      <c r="AE124" s="37"/>
    </row>
    <row r="125" spans="30:31" x14ac:dyDescent="0.2">
      <c r="AD125" s="37"/>
      <c r="AE125" s="37"/>
    </row>
    <row r="126" spans="30:31" x14ac:dyDescent="0.2">
      <c r="AD126" s="37"/>
      <c r="AE126" s="37"/>
    </row>
    <row r="127" spans="30:31" x14ac:dyDescent="0.2">
      <c r="AD127" s="37"/>
      <c r="AE127" s="37"/>
    </row>
    <row r="128" spans="30:31" x14ac:dyDescent="0.2">
      <c r="AD128" s="37"/>
      <c r="AE128" s="37"/>
    </row>
    <row r="129" spans="30:31" x14ac:dyDescent="0.2">
      <c r="AD129" s="37"/>
      <c r="AE129" s="37"/>
    </row>
    <row r="130" spans="30:31" x14ac:dyDescent="0.2">
      <c r="AD130" s="37"/>
      <c r="AE130" s="37"/>
    </row>
    <row r="131" spans="30:31" x14ac:dyDescent="0.2">
      <c r="AD131" s="37"/>
      <c r="AE131" s="37"/>
    </row>
    <row r="132" spans="30:31" x14ac:dyDescent="0.2">
      <c r="AD132" s="37"/>
      <c r="AE132" s="37"/>
    </row>
    <row r="133" spans="30:31" x14ac:dyDescent="0.2">
      <c r="AD133" s="37"/>
      <c r="AE133" s="37"/>
    </row>
    <row r="134" spans="30:31" x14ac:dyDescent="0.2">
      <c r="AD134" s="37"/>
      <c r="AE134" s="37"/>
    </row>
    <row r="135" spans="30:31" x14ac:dyDescent="0.2">
      <c r="AD135" s="37"/>
      <c r="AE135" s="37"/>
    </row>
    <row r="136" spans="30:31" x14ac:dyDescent="0.2">
      <c r="AD136" s="37"/>
      <c r="AE136" s="37"/>
    </row>
    <row r="137" spans="30:31" x14ac:dyDescent="0.2">
      <c r="AD137" s="37"/>
      <c r="AE137" s="37"/>
    </row>
    <row r="138" spans="30:31" x14ac:dyDescent="0.2">
      <c r="AD138" s="37"/>
      <c r="AE138" s="37"/>
    </row>
    <row r="139" spans="30:31" x14ac:dyDescent="0.2">
      <c r="AD139" s="37"/>
      <c r="AE139" s="37"/>
    </row>
    <row r="140" spans="30:31" x14ac:dyDescent="0.2">
      <c r="AD140" s="37"/>
      <c r="AE140" s="37"/>
    </row>
    <row r="141" spans="30:31" x14ac:dyDescent="0.2">
      <c r="AD141" s="37"/>
      <c r="AE141" s="37"/>
    </row>
    <row r="142" spans="30:31" x14ac:dyDescent="0.2">
      <c r="AD142" s="37"/>
      <c r="AE142" s="37"/>
    </row>
    <row r="143" spans="30:31" x14ac:dyDescent="0.2">
      <c r="AD143" s="37"/>
      <c r="AE143" s="37"/>
    </row>
    <row r="144" spans="30:31" x14ac:dyDescent="0.2">
      <c r="AD144" s="37"/>
      <c r="AE144" s="37"/>
    </row>
    <row r="145" spans="30:31" x14ac:dyDescent="0.2">
      <c r="AD145" s="37"/>
      <c r="AE145" s="37"/>
    </row>
    <row r="146" spans="30:31" x14ac:dyDescent="0.2">
      <c r="AD146" s="37"/>
      <c r="AE146" s="37"/>
    </row>
    <row r="147" spans="30:31" x14ac:dyDescent="0.2">
      <c r="AD147" s="37"/>
      <c r="AE147" s="37"/>
    </row>
    <row r="148" spans="30:31" x14ac:dyDescent="0.2">
      <c r="AD148" s="37"/>
      <c r="AE148" s="37"/>
    </row>
    <row r="149" spans="30:31" x14ac:dyDescent="0.2">
      <c r="AD149" s="37"/>
      <c r="AE149" s="37"/>
    </row>
    <row r="150" spans="30:31" x14ac:dyDescent="0.2">
      <c r="AD150" s="37"/>
      <c r="AE150" s="37"/>
    </row>
    <row r="151" spans="30:31" x14ac:dyDescent="0.2">
      <c r="AD151" s="37"/>
      <c r="AE151" s="37"/>
    </row>
    <row r="152" spans="30:31" x14ac:dyDescent="0.2">
      <c r="AD152" s="37"/>
      <c r="AE152" s="37"/>
    </row>
    <row r="153" spans="30:31" x14ac:dyDescent="0.2">
      <c r="AD153" s="37"/>
      <c r="AE153" s="37"/>
    </row>
    <row r="154" spans="30:31" x14ac:dyDescent="0.2">
      <c r="AD154" s="37"/>
      <c r="AE154" s="37"/>
    </row>
    <row r="155" spans="30:31" x14ac:dyDescent="0.2">
      <c r="AD155" s="37"/>
      <c r="AE155" s="37"/>
    </row>
    <row r="156" spans="30:31" x14ac:dyDescent="0.2">
      <c r="AD156" s="37"/>
      <c r="AE156" s="37"/>
    </row>
    <row r="157" spans="30:31" x14ac:dyDescent="0.2">
      <c r="AD157" s="37"/>
      <c r="AE157" s="37"/>
    </row>
    <row r="158" spans="30:31" x14ac:dyDescent="0.2">
      <c r="AD158" s="37"/>
      <c r="AE158" s="37"/>
    </row>
    <row r="159" spans="30:31" x14ac:dyDescent="0.2">
      <c r="AD159" s="37"/>
      <c r="AE159" s="37"/>
    </row>
    <row r="160" spans="30:31" x14ac:dyDescent="0.2">
      <c r="AD160" s="37"/>
      <c r="AE160" s="37"/>
    </row>
    <row r="161" spans="30:32" x14ac:dyDescent="0.2">
      <c r="AD161" s="37"/>
      <c r="AE161" s="37"/>
    </row>
    <row r="162" spans="30:32" x14ac:dyDescent="0.2">
      <c r="AD162" s="37"/>
      <c r="AE162" s="37"/>
    </row>
    <row r="163" spans="30:32" x14ac:dyDescent="0.2">
      <c r="AD163" s="37"/>
      <c r="AE163" s="37"/>
    </row>
    <row r="164" spans="30:32" x14ac:dyDescent="0.2">
      <c r="AD164" s="36"/>
      <c r="AE164" s="36"/>
      <c r="AF164" s="28"/>
    </row>
    <row r="165" spans="30:32" x14ac:dyDescent="0.2">
      <c r="AD165" s="37"/>
      <c r="AE165" s="37"/>
    </row>
    <row r="166" spans="30:32" x14ac:dyDescent="0.2">
      <c r="AD166" s="37"/>
      <c r="AE166" s="37"/>
    </row>
    <row r="167" spans="30:32" x14ac:dyDescent="0.2">
      <c r="AD167" s="37"/>
      <c r="AE167" s="37"/>
    </row>
    <row r="168" spans="30:32" x14ac:dyDescent="0.2">
      <c r="AD168" s="37"/>
      <c r="AE168" s="37"/>
    </row>
    <row r="169" spans="30:32" x14ac:dyDescent="0.2">
      <c r="AD169" s="37"/>
      <c r="AE169" s="37"/>
    </row>
    <row r="170" spans="30:32" x14ac:dyDescent="0.2">
      <c r="AD170" s="37"/>
      <c r="AE170" s="37"/>
    </row>
    <row r="171" spans="30:32" x14ac:dyDescent="0.2">
      <c r="AD171" s="37"/>
      <c r="AE171" s="37"/>
    </row>
    <row r="172" spans="30:32" x14ac:dyDescent="0.2">
      <c r="AD172" s="37"/>
      <c r="AE172" s="37"/>
    </row>
    <row r="173" spans="30:32" x14ac:dyDescent="0.2">
      <c r="AD173" s="37"/>
      <c r="AE173" s="37"/>
    </row>
    <row r="174" spans="30:32" x14ac:dyDescent="0.2">
      <c r="AD174" s="37"/>
      <c r="AE174" s="37"/>
    </row>
    <row r="175" spans="30:32" x14ac:dyDescent="0.2">
      <c r="AD175" s="37"/>
      <c r="AE175" s="37"/>
    </row>
    <row r="176" spans="30:32" x14ac:dyDescent="0.2">
      <c r="AD176" s="37"/>
      <c r="AE176" s="37"/>
    </row>
    <row r="177" spans="30:31" x14ac:dyDescent="0.2">
      <c r="AD177" s="37"/>
      <c r="AE177" s="37"/>
    </row>
    <row r="178" spans="30:31" x14ac:dyDescent="0.2">
      <c r="AD178" s="37"/>
      <c r="AE178" s="37"/>
    </row>
    <row r="179" spans="30:31" x14ac:dyDescent="0.2">
      <c r="AD179" s="37"/>
      <c r="AE179" s="37"/>
    </row>
    <row r="180" spans="30:31" x14ac:dyDescent="0.2">
      <c r="AD180" s="37"/>
      <c r="AE180" s="37"/>
    </row>
    <row r="181" spans="30:31" x14ac:dyDescent="0.2">
      <c r="AD181" s="37"/>
      <c r="AE181" s="37"/>
    </row>
    <row r="182" spans="30:31" x14ac:dyDescent="0.2">
      <c r="AD182" s="37"/>
      <c r="AE182" s="37"/>
    </row>
    <row r="183" spans="30:31" x14ac:dyDescent="0.2">
      <c r="AD183" s="37"/>
      <c r="AE183" s="37"/>
    </row>
    <row r="184" spans="30:31" x14ac:dyDescent="0.2">
      <c r="AD184" s="37"/>
      <c r="AE184" s="37"/>
    </row>
    <row r="185" spans="30:31" x14ac:dyDescent="0.2">
      <c r="AD185" s="37"/>
      <c r="AE185" s="37"/>
    </row>
    <row r="209" spans="30:31" x14ac:dyDescent="0.2">
      <c r="AD209" s="34"/>
      <c r="AE209" s="34"/>
    </row>
    <row r="265" spans="1:29" x14ac:dyDescent="0.2">
      <c r="A265" s="28"/>
      <c r="AC265" s="28"/>
    </row>
  </sheetData>
  <sortState xmlns:xlrd2="http://schemas.microsoft.com/office/spreadsheetml/2017/richdata2" ref="B2:AB90">
    <sortCondition descending="1" ref="O2:O9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69D9-5B5A-FE44-8354-FE31AAB8A41C}">
  <dimension ref="A1:AI265"/>
  <sheetViews>
    <sheetView tabSelected="1" zoomScaleNormal="150" zoomScaleSheetLayoutView="100" workbookViewId="0">
      <pane ySplit="1" topLeftCell="A134" activePane="bottomLeft" state="frozen"/>
      <selection pane="bottomLeft" activeCell="C156" sqref="C156"/>
    </sheetView>
  </sheetViews>
  <sheetFormatPr defaultRowHeight="15" x14ac:dyDescent="0.2"/>
  <cols>
    <col min="1" max="1" width="2.28515625" style="17" customWidth="1"/>
    <col min="2" max="2" width="5.24609375" style="1" bestFit="1" customWidth="1"/>
    <col min="3" max="3" width="19.234375" style="172" bestFit="1" customWidth="1"/>
    <col min="4" max="13" width="8.609375" style="97"/>
    <col min="14" max="14" width="8.609375" style="170"/>
    <col min="15" max="15" width="8.609375" style="285"/>
    <col min="16" max="17" width="5.78125" style="37" bestFit="1" customWidth="1"/>
    <col min="18" max="19" width="4.16796875" style="37" bestFit="1" customWidth="1"/>
    <col min="20" max="21" width="3.09375" style="37" bestFit="1" customWidth="1"/>
    <col min="22" max="22" width="3.359375" style="37" bestFit="1" customWidth="1"/>
    <col min="23" max="26" width="4.16796875" style="37" bestFit="1" customWidth="1"/>
    <col min="27" max="27" width="4.4375" style="37" bestFit="1" customWidth="1"/>
    <col min="28" max="29" width="3.09375" style="37" bestFit="1" customWidth="1"/>
    <col min="30" max="30" width="2.28515625" style="17" customWidth="1"/>
    <col min="31" max="31" width="5.24609375" style="32" bestFit="1" customWidth="1"/>
    <col min="32" max="33" width="6.859375" style="32" bestFit="1" customWidth="1"/>
    <col min="34" max="34" width="9.55078125" style="33" bestFit="1" customWidth="1"/>
    <col min="35" max="35" width="2.28515625" style="17" customWidth="1"/>
    <col min="36" max="16384" width="8.609375" style="37"/>
  </cols>
  <sheetData>
    <row r="1" spans="1:35" x14ac:dyDescent="0.2">
      <c r="A1" s="8"/>
      <c r="B1" s="298" t="s">
        <v>0</v>
      </c>
      <c r="C1" s="299" t="s">
        <v>1</v>
      </c>
      <c r="D1" s="253" t="s">
        <v>12</v>
      </c>
      <c r="E1" s="253" t="s">
        <v>13</v>
      </c>
      <c r="F1" s="253" t="s">
        <v>287</v>
      </c>
      <c r="G1" s="253" t="s">
        <v>288</v>
      </c>
      <c r="H1" s="253" t="s">
        <v>14</v>
      </c>
      <c r="I1" s="253" t="s">
        <v>286</v>
      </c>
      <c r="J1" s="253" t="s">
        <v>289</v>
      </c>
      <c r="K1" s="253" t="s">
        <v>15</v>
      </c>
      <c r="L1" s="253" t="s">
        <v>290</v>
      </c>
      <c r="M1" s="254" t="s">
        <v>282</v>
      </c>
      <c r="N1" s="255" t="s">
        <v>291</v>
      </c>
      <c r="O1" s="256" t="s">
        <v>326</v>
      </c>
      <c r="P1" s="257" t="s">
        <v>7</v>
      </c>
      <c r="Q1" s="257" t="s">
        <v>8</v>
      </c>
      <c r="R1" s="257" t="s">
        <v>17</v>
      </c>
      <c r="S1" s="257" t="s">
        <v>6</v>
      </c>
      <c r="T1" s="257" t="s">
        <v>292</v>
      </c>
      <c r="U1" s="257" t="s">
        <v>293</v>
      </c>
      <c r="V1" s="257" t="s">
        <v>2</v>
      </c>
      <c r="W1" s="257" t="s">
        <v>3</v>
      </c>
      <c r="X1" s="257" t="s">
        <v>9</v>
      </c>
      <c r="Y1" s="257" t="s">
        <v>4</v>
      </c>
      <c r="Z1" s="258" t="s">
        <v>5</v>
      </c>
      <c r="AA1" s="257" t="s">
        <v>11</v>
      </c>
      <c r="AB1" s="257" t="s">
        <v>16</v>
      </c>
      <c r="AC1" s="257" t="s">
        <v>10</v>
      </c>
      <c r="AD1" s="8"/>
      <c r="AE1" s="80" t="s">
        <v>0</v>
      </c>
      <c r="AF1" s="82" t="s">
        <v>277</v>
      </c>
      <c r="AG1" s="82" t="s">
        <v>278</v>
      </c>
      <c r="AH1" s="4" t="s">
        <v>279</v>
      </c>
      <c r="AI1" s="8"/>
    </row>
    <row r="2" spans="1:35" x14ac:dyDescent="0.2">
      <c r="A2" s="9"/>
      <c r="B2" s="301">
        <v>1995</v>
      </c>
      <c r="C2" s="302" t="s">
        <v>549</v>
      </c>
      <c r="D2" s="303">
        <f>(S2-V2)/(Q2-V2-Y2+AC2)</f>
        <v>0.25229357798165136</v>
      </c>
      <c r="E2" s="303">
        <f>Z2/P2</f>
        <v>0.25</v>
      </c>
      <c r="F2" s="303">
        <f>(T2+U2+V2)/S2</f>
        <v>0.32258064516129031</v>
      </c>
      <c r="G2" s="303">
        <f>(Z2+R2)/P2</f>
        <v>0.33076923076923076</v>
      </c>
      <c r="H2" s="303">
        <f>(Z2/Q2)+((S2+X2+AA2)/(Q2+X2+AA2+AC2))</f>
        <v>0.55510450789195698</v>
      </c>
      <c r="I2" s="303">
        <f>V2/Z2</f>
        <v>7.179487179487179E-2</v>
      </c>
      <c r="J2" s="303">
        <f>(AB2+AC2)/Z2</f>
        <v>7.6923076923076927E-2</v>
      </c>
      <c r="K2" s="303">
        <f>Y2/P2</f>
        <v>0.30256410256410254</v>
      </c>
      <c r="L2" s="303">
        <f>(X2+AA2)/P2</f>
        <v>0.10641025641025641</v>
      </c>
      <c r="M2" s="304">
        <f>(1-D2*0.7635+1-E2*0.7562+1-F2*0.75+1-G2*0.7248+1-H2*0.7021+1-I2*0.6285+J2*0.5884+K2*0.5276+1-L2*0.3663)/11.068</f>
        <v>0.53015008682831266</v>
      </c>
      <c r="N2" s="308">
        <f>M2/0.4881*100</f>
        <v>108.61505569111098</v>
      </c>
      <c r="O2" s="313">
        <f>(N2-100)/100*P2*0.6611</f>
        <v>44.424223875669071</v>
      </c>
      <c r="P2" s="300">
        <v>780</v>
      </c>
      <c r="Q2" s="300">
        <f>P2-X2-AA2-AB2-AC2</f>
        <v>682</v>
      </c>
      <c r="R2" s="300">
        <v>63</v>
      </c>
      <c r="S2" s="300">
        <v>124</v>
      </c>
      <c r="T2" s="300">
        <v>23</v>
      </c>
      <c r="U2" s="300">
        <v>3</v>
      </c>
      <c r="V2" s="300">
        <v>14</v>
      </c>
      <c r="W2" s="300" t="s">
        <v>19</v>
      </c>
      <c r="X2" s="300">
        <v>78</v>
      </c>
      <c r="Y2" s="300">
        <v>236</v>
      </c>
      <c r="Z2" s="300">
        <f>S2+T2+U2*2+V2*3</f>
        <v>195</v>
      </c>
      <c r="AA2" s="300">
        <v>5</v>
      </c>
      <c r="AB2" s="300">
        <v>11</v>
      </c>
      <c r="AC2" s="300">
        <v>4</v>
      </c>
      <c r="AD2" s="9"/>
      <c r="AE2" s="6">
        <v>2021</v>
      </c>
      <c r="AF2" s="83">
        <v>0.51462513627365003</v>
      </c>
      <c r="AG2" s="84">
        <v>0.4908866263541139</v>
      </c>
      <c r="AH2" s="78">
        <v>6.2100000000000002E-3</v>
      </c>
      <c r="AI2" s="9"/>
    </row>
    <row r="3" spans="1:35" x14ac:dyDescent="0.2">
      <c r="A3" s="9"/>
      <c r="B3" s="298">
        <v>1964</v>
      </c>
      <c r="C3" s="299" t="s">
        <v>594</v>
      </c>
      <c r="D3" s="292">
        <f>(S3-V3)/(Q3-V3-Y3+AC3)</f>
        <v>0.32118055555555558</v>
      </c>
      <c r="E3" s="292">
        <f>Z3/P3</f>
        <v>0.52016689847009734</v>
      </c>
      <c r="F3" s="292">
        <f>(T3+U3+V3)/S3</f>
        <v>0.38709677419354838</v>
      </c>
      <c r="G3" s="292">
        <f>(Z3+W3)/P3</f>
        <v>0.65090403337969405</v>
      </c>
      <c r="H3" s="292">
        <f>(Z3/Q3)+((S3+X3+AA3)/(Q3+X3+AA3+AC3))</f>
        <v>0.91465920127503808</v>
      </c>
      <c r="I3" s="292">
        <f>V3/Z3</f>
        <v>8.5561497326203204E-2</v>
      </c>
      <c r="J3" s="292">
        <f>(AB3+AC3)/Z3</f>
        <v>1.6042780748663103E-2</v>
      </c>
      <c r="K3" s="292">
        <f>Y3/P3</f>
        <v>9.4575799721835885E-2</v>
      </c>
      <c r="L3" s="292">
        <f>(X3+AA3)/P3</f>
        <v>5.5632823365785816E-2</v>
      </c>
      <c r="M3" s="293">
        <f>(D3*0.7635+E3*0.7562+F3*0.75+G3*0.7248+H3*0.7021+I3*0.6285+1-J3*0.5884+1-K3*0.5276+L3*0.3663)/6.931</f>
        <v>0.58543753458178827</v>
      </c>
      <c r="N3" s="294">
        <f>M3/0.4967*100</f>
        <v>117.86541867964331</v>
      </c>
      <c r="O3" s="287">
        <f>(N3-100)/100*P3*0.3389</f>
        <v>43.532504907918742</v>
      </c>
      <c r="P3" s="300">
        <v>719</v>
      </c>
      <c r="Q3" s="300">
        <f>P3-X3-AA3-AB3-AC3</f>
        <v>673</v>
      </c>
      <c r="R3" s="300" t="s">
        <v>19</v>
      </c>
      <c r="S3" s="300">
        <v>217</v>
      </c>
      <c r="T3" s="300">
        <v>43</v>
      </c>
      <c r="U3" s="300">
        <v>9</v>
      </c>
      <c r="V3" s="300">
        <v>32</v>
      </c>
      <c r="W3" s="300">
        <v>94</v>
      </c>
      <c r="X3" s="300">
        <v>34</v>
      </c>
      <c r="Y3" s="300">
        <v>68</v>
      </c>
      <c r="Z3" s="300">
        <f>S3+T3+U3*2+V3*3</f>
        <v>374</v>
      </c>
      <c r="AA3" s="300">
        <v>6</v>
      </c>
      <c r="AB3" s="300">
        <v>3</v>
      </c>
      <c r="AC3" s="300">
        <v>3</v>
      </c>
      <c r="AD3" s="9"/>
      <c r="AE3" s="6">
        <v>2020</v>
      </c>
      <c r="AF3" s="85">
        <v>0.52340473419247957</v>
      </c>
      <c r="AG3" s="86">
        <v>0.48538866889337956</v>
      </c>
      <c r="AH3" s="78">
        <v>6.0400000000000002E-3</v>
      </c>
      <c r="AI3" s="9"/>
    </row>
    <row r="4" spans="1:35" x14ac:dyDescent="0.2">
      <c r="A4" s="9"/>
      <c r="B4" s="298">
        <v>1964</v>
      </c>
      <c r="C4" s="299" t="s">
        <v>382</v>
      </c>
      <c r="D4" s="292">
        <f>(S4-V4)/(Q4-V4-Y4+AC4)</f>
        <v>0.36673773987206826</v>
      </c>
      <c r="E4" s="292">
        <f>Z4/P4</f>
        <v>0.49647390691114246</v>
      </c>
      <c r="F4" s="292">
        <f>(T4+U4+V4)/S4</f>
        <v>0.39800995024875624</v>
      </c>
      <c r="G4" s="292">
        <f>(Z4+W4)/P4</f>
        <v>0.62482369534555715</v>
      </c>
      <c r="H4" s="292">
        <f>(Z4/Q4)+((S4+X4+AA4)/(Q4+X4+AA4+AC4))</f>
        <v>0.93730547709095968</v>
      </c>
      <c r="I4" s="292">
        <f>V4/Z4</f>
        <v>8.2386363636363633E-2</v>
      </c>
      <c r="J4" s="292">
        <f>(AB4+AC4)/Z4</f>
        <v>2.556818181818182E-2</v>
      </c>
      <c r="K4" s="292">
        <f>Y4/P4</f>
        <v>0.19464033850493653</v>
      </c>
      <c r="L4" s="292">
        <f>(X4+AA4)/P4</f>
        <v>9.4499294781382234E-2</v>
      </c>
      <c r="M4" s="293">
        <f>(D4*0.7635+E4*0.7562+F4*0.75+G4*0.7248+H4*0.7021+I4*0.6285+1-J4*0.5884+1-K4*0.5276+L4*0.3663)/6.931</f>
        <v>0.58195903127744486</v>
      </c>
      <c r="N4" s="294">
        <f>M4/0.4967*100</f>
        <v>117.16509588835211</v>
      </c>
      <c r="O4" s="286">
        <f>(N4-100)/100*P4*0.3389</f>
        <v>41.244309565628342</v>
      </c>
      <c r="P4" s="300">
        <v>709</v>
      </c>
      <c r="Q4" s="300">
        <f>P4-X4-AA4-AB4-AC4</f>
        <v>633</v>
      </c>
      <c r="R4" s="300" t="s">
        <v>19</v>
      </c>
      <c r="S4" s="300">
        <v>201</v>
      </c>
      <c r="T4" s="300">
        <v>38</v>
      </c>
      <c r="U4" s="300">
        <v>13</v>
      </c>
      <c r="V4" s="300">
        <v>29</v>
      </c>
      <c r="W4" s="300">
        <v>91</v>
      </c>
      <c r="X4" s="300">
        <v>67</v>
      </c>
      <c r="Y4" s="300">
        <v>138</v>
      </c>
      <c r="Z4" s="300">
        <f>S4+T4+U4*2+V4*3</f>
        <v>352</v>
      </c>
      <c r="AA4" s="300">
        <v>0</v>
      </c>
      <c r="AB4" s="300">
        <v>6</v>
      </c>
      <c r="AC4" s="300">
        <v>3</v>
      </c>
      <c r="AD4" s="9"/>
      <c r="AE4" s="6">
        <v>2019</v>
      </c>
      <c r="AF4" s="85">
        <v>0.5290120825928688</v>
      </c>
      <c r="AG4" s="86">
        <v>0.48187723667770382</v>
      </c>
      <c r="AH4" s="78">
        <v>6.1700000000000001E-3</v>
      </c>
      <c r="AI4" s="9"/>
    </row>
    <row r="5" spans="1:35" x14ac:dyDescent="0.2">
      <c r="A5" s="9"/>
      <c r="B5" s="301">
        <v>1984</v>
      </c>
      <c r="C5" s="302" t="s">
        <v>447</v>
      </c>
      <c r="D5" s="303">
        <f>(S5-V5)/(Q5-V5-Y5+AC5)</f>
        <v>0.29729729729729731</v>
      </c>
      <c r="E5" s="303">
        <f>Z5/P5</f>
        <v>0.25028441410693969</v>
      </c>
      <c r="F5" s="303">
        <f>(T5+U5+V5)/S5</f>
        <v>0.2360248447204969</v>
      </c>
      <c r="G5" s="303">
        <f>(Z5+R5)/P5</f>
        <v>0.3321956769055745</v>
      </c>
      <c r="H5" s="303">
        <f>(Z5/Q5)+((S5+X5+AA5)/(Q5+X5+AA5+AC5))</f>
        <v>0.54475057291934559</v>
      </c>
      <c r="I5" s="303">
        <f>V5/Z5</f>
        <v>3.1818181818181815E-2</v>
      </c>
      <c r="J5" s="303">
        <f>(AB5+AC5)/Z5</f>
        <v>2.2727272727272728E-2</v>
      </c>
      <c r="K5" s="303">
        <f>Y5/P5</f>
        <v>0.31399317406143346</v>
      </c>
      <c r="L5" s="303">
        <f>(X5+AA5)/P5</f>
        <v>8.5324232081911269E-2</v>
      </c>
      <c r="M5" s="304">
        <f>(1-D5*0.7635+1-E5*0.7562+1-F5*0.75+1-G5*0.7248+1-H5*0.7021+1-I5*0.6285+J5*0.5884+K5*0.5276+1-L5*0.3663)/11.068</f>
        <v>0.53408642343520496</v>
      </c>
      <c r="N5" s="308">
        <f>M5/0.499*100</f>
        <v>107.03134738180459</v>
      </c>
      <c r="O5" s="307">
        <f>(N5-100)/100*P5*0.6611</f>
        <v>40.859644798635841</v>
      </c>
      <c r="P5" s="300">
        <v>879</v>
      </c>
      <c r="Q5" s="300">
        <f>P5-X5-AA5-AB5-AC5</f>
        <v>799</v>
      </c>
      <c r="R5" s="300">
        <v>72</v>
      </c>
      <c r="S5" s="300">
        <v>161</v>
      </c>
      <c r="T5" s="300">
        <v>24</v>
      </c>
      <c r="U5" s="300">
        <v>7</v>
      </c>
      <c r="V5" s="300">
        <v>7</v>
      </c>
      <c r="W5" s="300" t="s">
        <v>19</v>
      </c>
      <c r="X5" s="300">
        <v>73</v>
      </c>
      <c r="Y5" s="300">
        <v>276</v>
      </c>
      <c r="Z5" s="300">
        <f>S5+T5+U5*2+V5*3</f>
        <v>220</v>
      </c>
      <c r="AA5" s="300">
        <v>2</v>
      </c>
      <c r="AB5" s="300">
        <v>3</v>
      </c>
      <c r="AC5" s="300">
        <v>2</v>
      </c>
      <c r="AD5" s="9"/>
      <c r="AE5" s="6">
        <v>2018</v>
      </c>
      <c r="AF5" s="85">
        <v>0.51638189990365269</v>
      </c>
      <c r="AG5" s="86">
        <v>0.48978650630355836</v>
      </c>
      <c r="AH5" s="78">
        <v>6.6699999999999997E-3</v>
      </c>
      <c r="AI5" s="9"/>
    </row>
    <row r="6" spans="1:35" x14ac:dyDescent="0.2">
      <c r="A6" s="9"/>
      <c r="B6" s="298">
        <v>1975</v>
      </c>
      <c r="C6" s="299" t="s">
        <v>378</v>
      </c>
      <c r="D6" s="292">
        <f>(S6-V6)/(Q6-V6-Y6+AC6)</f>
        <v>0.36406619385342792</v>
      </c>
      <c r="E6" s="292">
        <f>Z6/P6</f>
        <v>0.49421487603305786</v>
      </c>
      <c r="F6" s="292">
        <f>(T6+U6+V6)/S6</f>
        <v>0.42857142857142855</v>
      </c>
      <c r="G6" s="292">
        <f>(Z6+W6)/P6</f>
        <v>0.66776859504132235</v>
      </c>
      <c r="H6" s="292">
        <f>(Z6/Q6)+((S6+X6+AA6)/(Q6+X6+AA6+AC6))</f>
        <v>0.96695565842060005</v>
      </c>
      <c r="I6" s="292">
        <f>V6/Z6</f>
        <v>7.0234113712374577E-2</v>
      </c>
      <c r="J6" s="292">
        <f>(AB6+AC6)/Z6</f>
        <v>4.0133779264214048E-2</v>
      </c>
      <c r="K6" s="292">
        <f>Y6/P6</f>
        <v>0.1487603305785124</v>
      </c>
      <c r="L6" s="292">
        <f>(X6+AA6)/P6</f>
        <v>0.10743801652892562</v>
      </c>
      <c r="M6" s="293">
        <f>(D6*0.7635+E6*0.7562+F6*0.75+G6*0.7248+H6*0.7021+I6*0.6285+1-J6*0.5884+1-K6*0.5276+L6*0.3663)/6.931</f>
        <v>0.59405751910913329</v>
      </c>
      <c r="N6" s="294">
        <f>M6/0.4959*100</f>
        <v>119.79381308915775</v>
      </c>
      <c r="O6" s="286">
        <f>(N6-100)/100*P6*0.3389</f>
        <v>40.584145698289149</v>
      </c>
      <c r="P6" s="300">
        <v>605</v>
      </c>
      <c r="Q6" s="300">
        <f>P6-X6-AA6-AB6-AC6</f>
        <v>528</v>
      </c>
      <c r="R6" s="300" t="s">
        <v>19</v>
      </c>
      <c r="S6" s="300">
        <v>175</v>
      </c>
      <c r="T6" s="300">
        <v>47</v>
      </c>
      <c r="U6" s="300">
        <v>7</v>
      </c>
      <c r="V6" s="300">
        <v>21</v>
      </c>
      <c r="W6" s="300">
        <v>105</v>
      </c>
      <c r="X6" s="300">
        <v>62</v>
      </c>
      <c r="Y6" s="300">
        <v>90</v>
      </c>
      <c r="Z6" s="300">
        <f>S6+T6+U6*2+V6*3</f>
        <v>299</v>
      </c>
      <c r="AA6" s="300">
        <v>3</v>
      </c>
      <c r="AB6" s="300">
        <v>6</v>
      </c>
      <c r="AC6" s="300">
        <v>6</v>
      </c>
      <c r="AD6" s="9"/>
      <c r="AE6" s="6">
        <v>2017</v>
      </c>
      <c r="AF6" s="85">
        <v>0.52414274576387099</v>
      </c>
      <c r="AG6" s="86">
        <v>0.48492651148451477</v>
      </c>
      <c r="AH6" s="78">
        <v>6.3E-3</v>
      </c>
      <c r="AI6" s="9"/>
    </row>
    <row r="7" spans="1:35" x14ac:dyDescent="0.2">
      <c r="A7" s="9"/>
      <c r="B7" s="298">
        <v>2014</v>
      </c>
      <c r="C7" s="299" t="s">
        <v>331</v>
      </c>
      <c r="D7" s="292">
        <f>(S7-V7)/(Q7-V7-Y7+AC7)</f>
        <v>0.35623409669211198</v>
      </c>
      <c r="E7" s="292">
        <f>Z7/P7</f>
        <v>0.51929260450160775</v>
      </c>
      <c r="F7" s="292">
        <f>(T7+U7+V7)/S7</f>
        <v>0.41477272727272729</v>
      </c>
      <c r="G7" s="292">
        <f>(Z7+W7)/P7</f>
        <v>0.6913183279742765</v>
      </c>
      <c r="H7" s="292">
        <f>(Z7/Q7)+((S7+X7+AA7)/(Q7+X7+AA7+AC7))</f>
        <v>0.96357190774711432</v>
      </c>
      <c r="I7" s="292">
        <f>V7/Z7</f>
        <v>0.11145510835913312</v>
      </c>
      <c r="J7" s="292">
        <f>(AB7+AC7)/Z7</f>
        <v>1.238390092879257E-2</v>
      </c>
      <c r="K7" s="292">
        <f>Y7/P7</f>
        <v>0.21061093247588425</v>
      </c>
      <c r="L7" s="292">
        <f>(X7+AA7)/P7</f>
        <v>9.9678456591639875E-2</v>
      </c>
      <c r="M7" s="293">
        <f>(D7*0.7635+E7*0.7562+F7*0.75+G7*0.7248+H7*0.7021+I7*0.6285+1-J7*0.5884+1-K7*0.5276+L7*0.3663)/6.931</f>
        <v>0.59753303207625841</v>
      </c>
      <c r="N7" s="294">
        <f>M7/0.5031*100</f>
        <v>118.77023098315611</v>
      </c>
      <c r="O7" s="286">
        <f>(N7-100)/100*P7*0.3389</f>
        <v>39.566858562791786</v>
      </c>
      <c r="P7" s="300">
        <v>622</v>
      </c>
      <c r="Q7" s="300">
        <f>P7-X7-AA7-AB7-AC7</f>
        <v>556</v>
      </c>
      <c r="R7" s="300" t="s">
        <v>19</v>
      </c>
      <c r="S7" s="300">
        <v>176</v>
      </c>
      <c r="T7" s="300">
        <v>35</v>
      </c>
      <c r="U7" s="300">
        <v>2</v>
      </c>
      <c r="V7" s="300">
        <v>36</v>
      </c>
      <c r="W7" s="300">
        <v>107</v>
      </c>
      <c r="X7" s="300">
        <v>51</v>
      </c>
      <c r="Y7" s="300">
        <v>131</v>
      </c>
      <c r="Z7" s="300">
        <f>S7+T7+U7*2+V7*3</f>
        <v>323</v>
      </c>
      <c r="AA7" s="300">
        <v>11</v>
      </c>
      <c r="AB7" s="300">
        <v>0</v>
      </c>
      <c r="AC7" s="300">
        <v>4</v>
      </c>
      <c r="AD7" s="9"/>
      <c r="AE7" s="6">
        <v>2016</v>
      </c>
      <c r="AF7" s="85">
        <v>0.51927531602881305</v>
      </c>
      <c r="AG7" s="86">
        <v>0.48797459203146881</v>
      </c>
      <c r="AH7" s="78">
        <v>6.5799999999999999E-3</v>
      </c>
      <c r="AI7" s="9"/>
    </row>
    <row r="8" spans="1:35" x14ac:dyDescent="0.2">
      <c r="A8" s="9"/>
      <c r="B8" s="298">
        <v>2017</v>
      </c>
      <c r="C8" s="299" t="s">
        <v>521</v>
      </c>
      <c r="D8" s="292">
        <f>(S8-V8)/(Q8-V8-Y8+AC8)</f>
        <v>0.35664335664335667</v>
      </c>
      <c r="E8" s="292">
        <f>Z8/P8</f>
        <v>0.50147492625368728</v>
      </c>
      <c r="F8" s="292">
        <f>(T8+U8+V8)/S8</f>
        <v>0.51298701298701299</v>
      </c>
      <c r="G8" s="292">
        <f>(Z8+W8)/P8</f>
        <v>0.6696165191740413</v>
      </c>
      <c r="H8" s="292">
        <f>(Z8/Q8)+((S8+X8+AA8)/(Q8+X8+AA8+AC8))</f>
        <v>1.0491351816173029</v>
      </c>
      <c r="I8" s="291">
        <f>V8/Z8</f>
        <v>0.15294117647058825</v>
      </c>
      <c r="J8" s="292">
        <f>(AB8+AC8)/Z8</f>
        <v>1.1764705882352941E-2</v>
      </c>
      <c r="K8" s="292">
        <f>Y8/P8</f>
        <v>0.30678466076696165</v>
      </c>
      <c r="L8" s="291">
        <f>(X8+AA8)/P8</f>
        <v>0.19469026548672566</v>
      </c>
      <c r="M8" s="293">
        <f>(D8*0.7635+E8*0.7562+F8*0.75+G8*0.7248+H8*0.7021+I8*0.6285+1-J8*0.5884+1-K8*0.5276+L8*0.3663)/6.931</f>
        <v>0.61417476548536742</v>
      </c>
      <c r="N8" s="294">
        <f>M8/0.5241*100</f>
        <v>117.18656086345496</v>
      </c>
      <c r="O8" s="286">
        <f>(N8-100)/100*P8*0.3389</f>
        <v>39.490282731516722</v>
      </c>
      <c r="P8" s="300">
        <v>678</v>
      </c>
      <c r="Q8" s="300">
        <f>P8-X8-AA8-AB8-AC8</f>
        <v>542</v>
      </c>
      <c r="R8" s="300" t="s">
        <v>19</v>
      </c>
      <c r="S8" s="300">
        <v>154</v>
      </c>
      <c r="T8" s="300">
        <v>24</v>
      </c>
      <c r="U8" s="300">
        <v>3</v>
      </c>
      <c r="V8" s="300">
        <v>52</v>
      </c>
      <c r="W8" s="300">
        <v>114</v>
      </c>
      <c r="X8" s="300">
        <v>127</v>
      </c>
      <c r="Y8" s="300">
        <v>208</v>
      </c>
      <c r="Z8" s="300">
        <f>S8+T8+U8*2+V8*3</f>
        <v>340</v>
      </c>
      <c r="AA8" s="300">
        <v>5</v>
      </c>
      <c r="AB8" s="300">
        <v>0</v>
      </c>
      <c r="AC8" s="300">
        <v>4</v>
      </c>
      <c r="AD8" s="9"/>
      <c r="AE8" s="6">
        <v>2015</v>
      </c>
      <c r="AF8" s="85">
        <v>0.51244340129766441</v>
      </c>
      <c r="AG8" s="86">
        <v>0.49225287184729749</v>
      </c>
      <c r="AH8" s="78">
        <v>6.7099999999999998E-3</v>
      </c>
      <c r="AI8" s="9"/>
    </row>
    <row r="9" spans="1:35" x14ac:dyDescent="0.2">
      <c r="A9" s="9"/>
      <c r="B9" s="298">
        <v>2001</v>
      </c>
      <c r="C9" s="299" t="s">
        <v>348</v>
      </c>
      <c r="D9" s="292">
        <f>(S9-V9)/(Q9-V9-Y9+AC9)</f>
        <v>0.3361884368308351</v>
      </c>
      <c r="E9" s="292">
        <f>Z9/P9</f>
        <v>0.53254437869822491</v>
      </c>
      <c r="F9" s="292">
        <f>(T9+U9+V9)/S9</f>
        <v>0.45360824742268041</v>
      </c>
      <c r="G9" s="292">
        <f>(Z9+W9)/P9</f>
        <v>0.7248520710059172</v>
      </c>
      <c r="H9" s="292">
        <f>(Z9/Q9)+((S9+X9+AA9)/(Q9+X9+AA9+AC9))</f>
        <v>1.0131324544883866</v>
      </c>
      <c r="I9" s="292">
        <f>V9/Z9</f>
        <v>0.10277777777777777</v>
      </c>
      <c r="J9" s="292">
        <f>(AB9+AC9)/Z9</f>
        <v>2.2222222222222223E-2</v>
      </c>
      <c r="K9" s="292">
        <f>Y9/P9</f>
        <v>0.13757396449704143</v>
      </c>
      <c r="L9" s="292">
        <f>(X9+AA9)/P9</f>
        <v>0.11538461538461539</v>
      </c>
      <c r="M9" s="293">
        <f>(D9*0.7635+E9*0.7562+F9*0.75+G9*0.7248+H9*0.7021+I9*0.6285+1-J9*0.5884+1-K9*0.5276+L9*0.3663)/6.931</f>
        <v>0.61426790251693231</v>
      </c>
      <c r="N9" s="294">
        <f>M9/0.5241*100</f>
        <v>117.20433171473617</v>
      </c>
      <c r="O9" s="286">
        <f>(N9-100)/100*P9*0.3389</f>
        <v>39.414504602518832</v>
      </c>
      <c r="P9" s="300">
        <v>676</v>
      </c>
      <c r="Q9" s="300">
        <f>P9-X9-AA9-AB9-AC9</f>
        <v>590</v>
      </c>
      <c r="R9" s="300" t="s">
        <v>19</v>
      </c>
      <c r="S9" s="300">
        <v>194</v>
      </c>
      <c r="T9" s="300">
        <v>47</v>
      </c>
      <c r="U9" s="300">
        <v>4</v>
      </c>
      <c r="V9" s="300">
        <v>37</v>
      </c>
      <c r="W9" s="300">
        <v>130</v>
      </c>
      <c r="X9" s="300">
        <v>69</v>
      </c>
      <c r="Y9" s="300">
        <v>93</v>
      </c>
      <c r="Z9" s="300">
        <f>S9+T9+U9*2+V9*3</f>
        <v>360</v>
      </c>
      <c r="AA9" s="300">
        <v>9</v>
      </c>
      <c r="AB9" s="300">
        <v>1</v>
      </c>
      <c r="AC9" s="300">
        <v>7</v>
      </c>
      <c r="AD9" s="9"/>
      <c r="AE9" s="6">
        <v>2014</v>
      </c>
      <c r="AF9" s="85">
        <v>0.5030960685047513</v>
      </c>
      <c r="AG9" s="86">
        <v>0.49810635608904663</v>
      </c>
      <c r="AH9" s="78">
        <v>6.94E-3</v>
      </c>
      <c r="AI9" s="9"/>
    </row>
    <row r="10" spans="1:35" x14ac:dyDescent="0.2">
      <c r="A10" s="9"/>
      <c r="B10" s="301">
        <v>2013</v>
      </c>
      <c r="C10" s="302" t="s">
        <v>526</v>
      </c>
      <c r="D10" s="303">
        <f>(S10-V10)/(Q10-V10-Y10+AC10)</f>
        <v>0.24162679425837322</v>
      </c>
      <c r="E10" s="303">
        <f>Z10/P10</f>
        <v>0.23788546255506607</v>
      </c>
      <c r="F10" s="303">
        <f>(T10+U10+V10)/S10</f>
        <v>0.26126126126126126</v>
      </c>
      <c r="G10" s="303">
        <f>(Z10+R10)/P10</f>
        <v>0.30690161527165932</v>
      </c>
      <c r="H10" s="303">
        <f>(Z10/Q10)+((S10+X10+AA10)/(Q10+X10+AA10+AC10))</f>
        <v>0.52177628434453893</v>
      </c>
      <c r="I10" s="303">
        <f>V10/Z10</f>
        <v>6.1728395061728392E-2</v>
      </c>
      <c r="J10" s="303">
        <f>(AB10+AC10)/Z10</f>
        <v>4.3209876543209874E-2</v>
      </c>
      <c r="K10" s="303">
        <f>Y10/P10</f>
        <v>0.27459618208516889</v>
      </c>
      <c r="L10" s="303">
        <f>(X10+AA10)/P10</f>
        <v>9.2511013215859028E-2</v>
      </c>
      <c r="M10" s="304">
        <f>(1-D10*0.7635+1-E10*0.7562+1-F10*0.75+1-G10*0.7248+1-H10*0.7021+1-I10*0.6285+J10*0.5884+K10*0.5276+1-L10*0.3663)/11.068</f>
        <v>0.53745212743543003</v>
      </c>
      <c r="N10" s="308">
        <f>M10/0.4948*100</f>
        <v>108.62007425938359</v>
      </c>
      <c r="O10" s="307">
        <f>(N10-100)/100*P10*0.6611</f>
        <v>38.808358742502506</v>
      </c>
      <c r="P10" s="300">
        <v>681</v>
      </c>
      <c r="Q10" s="300">
        <f>P10-X10-AA10-AB10-AC10</f>
        <v>611</v>
      </c>
      <c r="R10" s="300">
        <v>47</v>
      </c>
      <c r="S10" s="300">
        <v>111</v>
      </c>
      <c r="T10" s="300">
        <v>17</v>
      </c>
      <c r="U10" s="300">
        <v>2</v>
      </c>
      <c r="V10" s="300">
        <v>10</v>
      </c>
      <c r="W10" s="300" t="s">
        <v>19</v>
      </c>
      <c r="X10" s="300">
        <v>58</v>
      </c>
      <c r="Y10" s="300">
        <v>187</v>
      </c>
      <c r="Z10" s="300">
        <f>S10+T10+U10*2+V10*3</f>
        <v>162</v>
      </c>
      <c r="AA10" s="300">
        <v>5</v>
      </c>
      <c r="AB10" s="300">
        <v>3</v>
      </c>
      <c r="AC10" s="300">
        <v>4</v>
      </c>
      <c r="AD10" s="9"/>
      <c r="AE10" s="6">
        <v>2013</v>
      </c>
      <c r="AF10" s="85">
        <v>0.50831784883894637</v>
      </c>
      <c r="AG10" s="86">
        <v>0.49483637420466781</v>
      </c>
      <c r="AH10" s="78">
        <v>6.5900000000000004E-3</v>
      </c>
      <c r="AI10" s="9"/>
    </row>
    <row r="11" spans="1:35" x14ac:dyDescent="0.2">
      <c r="A11" s="9"/>
      <c r="B11" s="298">
        <v>1987</v>
      </c>
      <c r="C11" s="299" t="s">
        <v>562</v>
      </c>
      <c r="D11" s="292">
        <f>(S11-V11)/(Q11-V11-Y11+AC11)</f>
        <v>0.29090909090909089</v>
      </c>
      <c r="E11" s="292">
        <f>Z11/P11</f>
        <v>0.53666146645865831</v>
      </c>
      <c r="F11" s="292">
        <f>(T11+U11+V11)/S11</f>
        <v>0.50310559006211175</v>
      </c>
      <c r="G11" s="292">
        <f>(Z11+W11)/P11</f>
        <v>0.72074882995319811</v>
      </c>
      <c r="H11" s="292">
        <f>(Z11/Q11)+((S11+X11+AA11)/(Q11+X11+AA11+AC11))</f>
        <v>0.98732904432873903</v>
      </c>
      <c r="I11" s="292">
        <f>V11/Z11</f>
        <v>0.14244186046511628</v>
      </c>
      <c r="J11" s="292">
        <f>(AB11+AC11)/Z11</f>
        <v>2.3255813953488372E-2</v>
      </c>
      <c r="K11" s="292">
        <f>Y11/P11</f>
        <v>0.20436817472698907</v>
      </c>
      <c r="L11" s="292">
        <f>(X11+AA11)/P11</f>
        <v>0.11856474258970359</v>
      </c>
      <c r="M11" s="293">
        <f>(D11*0.7635+E11*0.7562+F11*0.75+G11*0.7248+H11*0.7021+I11*0.6285+1-J11*0.5884+1-K11*0.5276+L11*0.3663)/6.931</f>
        <v>0.61063493910860478</v>
      </c>
      <c r="N11" s="294">
        <f>M11/0.5181*100</f>
        <v>117.86043989743385</v>
      </c>
      <c r="O11" s="286">
        <f>(N11-100)/100*P11*0.3389</f>
        <v>38.79910875075052</v>
      </c>
      <c r="P11" s="300">
        <v>641</v>
      </c>
      <c r="Q11" s="300">
        <f>P11-X11-AA11-AB11-AC11</f>
        <v>557</v>
      </c>
      <c r="R11" s="300" t="s">
        <v>19</v>
      </c>
      <c r="S11" s="300">
        <v>161</v>
      </c>
      <c r="T11" s="300">
        <v>28</v>
      </c>
      <c r="U11" s="300">
        <v>4</v>
      </c>
      <c r="V11" s="300">
        <v>49</v>
      </c>
      <c r="W11" s="300">
        <v>118</v>
      </c>
      <c r="X11" s="300">
        <v>71</v>
      </c>
      <c r="Y11" s="300">
        <v>131</v>
      </c>
      <c r="Z11" s="300">
        <f>S11+T11+U11*2+V11*3</f>
        <v>344</v>
      </c>
      <c r="AA11" s="300">
        <v>5</v>
      </c>
      <c r="AB11" s="300">
        <v>0</v>
      </c>
      <c r="AC11" s="300">
        <v>8</v>
      </c>
      <c r="AD11" s="9"/>
      <c r="AE11" s="6">
        <v>2012</v>
      </c>
      <c r="AF11" s="85">
        <v>0.51285850718947035</v>
      </c>
      <c r="AG11" s="86">
        <v>0.49199292434674569</v>
      </c>
      <c r="AH11" s="78">
        <v>6.6400000000000001E-3</v>
      </c>
      <c r="AI11" s="9"/>
    </row>
    <row r="12" spans="1:35" x14ac:dyDescent="0.2">
      <c r="A12" s="9"/>
      <c r="B12" s="298">
        <v>1950</v>
      </c>
      <c r="C12" s="299" t="s">
        <v>614</v>
      </c>
      <c r="D12" s="292">
        <f>(S12-V12)/(Q12-V12-Y12+AC12)</f>
        <v>0.32444444444444442</v>
      </c>
      <c r="E12" s="292">
        <f>Z12/P12</f>
        <v>0.53530377668308704</v>
      </c>
      <c r="F12" s="292">
        <f>(T12+U12+V12)/S12</f>
        <v>0.3888888888888889</v>
      </c>
      <c r="G12" s="292">
        <f>(Z12+W12)/P12</f>
        <v>0.77175697865353032</v>
      </c>
      <c r="H12" s="292">
        <f>(Z12/Q12)+((S12+X12+AA12)/(Q12+X12+AA12+AC12))</f>
        <v>0.96505569609017883</v>
      </c>
      <c r="I12" s="292">
        <f>V12/Z12</f>
        <v>0.10429447852760736</v>
      </c>
      <c r="J12" s="292">
        <f>(AB12+AC12)/Z12</f>
        <v>1.2269938650306749E-2</v>
      </c>
      <c r="K12" s="292">
        <f>Y12/P12</f>
        <v>0.12315270935960591</v>
      </c>
      <c r="L12" s="292">
        <f>(X12+AA12)/P12</f>
        <v>8.2101806239737271E-2</v>
      </c>
      <c r="M12" s="293">
        <f>(D12*0.7635+E12*0.7562+F12*0.75+G12*0.7248+H12*0.7021+I12*0.6285+1-J12*0.5884+1-K12*0.5276+L12*0.3663)/6.931</f>
        <v>0.60662815586509766</v>
      </c>
      <c r="N12" s="294">
        <f>M12/0.5128*100</f>
        <v>118.29722228258535</v>
      </c>
      <c r="O12" s="286">
        <f>(N12-100)/100*P12*0.3389</f>
        <v>37.763655366250191</v>
      </c>
      <c r="P12" s="300">
        <v>609</v>
      </c>
      <c r="Q12" s="311">
        <f>P12-X12-AA12-AB12-AC12</f>
        <v>555</v>
      </c>
      <c r="R12" s="300" t="s">
        <v>19</v>
      </c>
      <c r="S12" s="300">
        <v>180</v>
      </c>
      <c r="T12" s="300">
        <v>28</v>
      </c>
      <c r="U12" s="300">
        <v>8</v>
      </c>
      <c r="V12" s="300">
        <v>34</v>
      </c>
      <c r="W12" s="300">
        <v>144</v>
      </c>
      <c r="X12" s="300">
        <v>45</v>
      </c>
      <c r="Y12" s="300">
        <v>75</v>
      </c>
      <c r="Z12" s="300">
        <f>S12+T12+U12*2+V12*3</f>
        <v>326</v>
      </c>
      <c r="AA12" s="300">
        <v>5</v>
      </c>
      <c r="AB12" s="300">
        <v>0</v>
      </c>
      <c r="AC12" s="311">
        <v>4</v>
      </c>
      <c r="AD12" s="9"/>
      <c r="AE12" s="6">
        <v>2011</v>
      </c>
      <c r="AF12" s="85">
        <v>0.50984718062050649</v>
      </c>
      <c r="AG12" s="86">
        <v>0.49387867646542005</v>
      </c>
      <c r="AH12" s="78">
        <v>6.8799999999999998E-3</v>
      </c>
      <c r="AI12" s="9"/>
    </row>
    <row r="13" spans="1:35" x14ac:dyDescent="0.2">
      <c r="A13" s="9"/>
      <c r="B13" s="301">
        <v>1963</v>
      </c>
      <c r="C13" s="302" t="s">
        <v>595</v>
      </c>
      <c r="D13" s="303">
        <f>(S13-V13)/(Q13-V13-Y13+AC13)</f>
        <v>0.26406926406926406</v>
      </c>
      <c r="E13" s="303">
        <f>Z13/P13</f>
        <v>0.25971370143149286</v>
      </c>
      <c r="F13" s="303">
        <f>(T13+U13+V13)/S13</f>
        <v>0.203125</v>
      </c>
      <c r="G13" s="303">
        <f>(Z13+R13)/P13</f>
        <v>0.33026584867075665</v>
      </c>
      <c r="H13" s="303">
        <f>(Z13/Q13)+((S13+X13+AA13)/(Q13+X13+AA13+AC13))</f>
        <v>0.5631818478250743</v>
      </c>
      <c r="I13" s="303">
        <f>V13/Z13</f>
        <v>3.5433070866141732E-2</v>
      </c>
      <c r="J13" s="303">
        <f>(AB13+AC13)/Z13</f>
        <v>5.5118110236220472E-2</v>
      </c>
      <c r="K13" s="303">
        <f>Y13/P13</f>
        <v>0.19325153374233128</v>
      </c>
      <c r="L13" s="303">
        <f>(X13+AA13)/P13</f>
        <v>7.7709611451942745E-2</v>
      </c>
      <c r="M13" s="304">
        <f>(1-D13*0.7635+1-E13*0.7562+1-F13*0.75+1-G13*0.7248+1-H13*0.7021+1-I13*0.6285+J13*0.5884+K13*0.5276+1-L13*0.3663)/11.068</f>
        <v>0.53293399827767474</v>
      </c>
      <c r="N13" s="308">
        <f>M13/0.504*100</f>
        <v>105.74087267414181</v>
      </c>
      <c r="O13" s="307">
        <f>(N13-100)/100*P13*0.6611</f>
        <v>37.117945245278989</v>
      </c>
      <c r="P13" s="300">
        <v>978</v>
      </c>
      <c r="Q13" s="300">
        <f>P13-X13-AA13-AB13-AC13</f>
        <v>888</v>
      </c>
      <c r="R13" s="300">
        <v>69</v>
      </c>
      <c r="S13" s="300">
        <v>192</v>
      </c>
      <c r="T13" s="300">
        <v>25</v>
      </c>
      <c r="U13" s="300">
        <v>5</v>
      </c>
      <c r="V13" s="300">
        <v>9</v>
      </c>
      <c r="W13" s="300" t="s">
        <v>19</v>
      </c>
      <c r="X13" s="300">
        <v>68</v>
      </c>
      <c r="Y13" s="300">
        <v>189</v>
      </c>
      <c r="Z13" s="300">
        <f>S13+T13+U13*2+V13*3</f>
        <v>254</v>
      </c>
      <c r="AA13" s="300">
        <v>8</v>
      </c>
      <c r="AB13" s="300">
        <v>11</v>
      </c>
      <c r="AC13" s="300">
        <v>3</v>
      </c>
      <c r="AD13" s="9"/>
      <c r="AE13" s="6">
        <v>2010</v>
      </c>
      <c r="AF13" s="85">
        <v>0.51222353863219616</v>
      </c>
      <c r="AG13" s="86">
        <v>0.49239055418686745</v>
      </c>
      <c r="AH13" s="78">
        <v>7.0099999999999997E-3</v>
      </c>
      <c r="AI13" s="9"/>
    </row>
    <row r="14" spans="1:35" x14ac:dyDescent="0.2">
      <c r="A14" s="9"/>
      <c r="B14" s="298">
        <v>1972</v>
      </c>
      <c r="C14" s="299" t="s">
        <v>83</v>
      </c>
      <c r="D14" s="292">
        <f>(S14-V14)/(Q14-V14-Y14+AC14)</f>
        <v>0.31818181818181818</v>
      </c>
      <c r="E14" s="292">
        <f>Z14/P14</f>
        <v>0.47859922178988329</v>
      </c>
      <c r="F14" s="292">
        <f>(T14+U14+V14)/S14</f>
        <v>0.44029850746268656</v>
      </c>
      <c r="G14" s="292">
        <f>(Z14+W14)/P14</f>
        <v>0.59727626459143968</v>
      </c>
      <c r="H14" s="292">
        <f>(Z14/Q14)+((S14+X14+AA14)/(Q14+X14+AA14+AC14))</f>
        <v>0.90866358700056726</v>
      </c>
      <c r="I14" s="292">
        <f>V14/Z14</f>
        <v>8.943089430894309E-2</v>
      </c>
      <c r="J14" s="292">
        <f>(AB14+AC14)/Z14</f>
        <v>4.0650406504065045E-3</v>
      </c>
      <c r="K14" s="292">
        <f>Y14/P14</f>
        <v>0.16147859922178989</v>
      </c>
      <c r="L14" s="292">
        <f>(X14+AA14)/P14</f>
        <v>0.10894941634241245</v>
      </c>
      <c r="M14" s="293">
        <f>(D14*0.7635+E14*0.7562+F14*0.75+G14*0.7248+H14*0.7021+I14*0.6285+1-J14*0.5884+1-K14*0.5276+L14*0.3663)/6.931</f>
        <v>0.57920624451256641</v>
      </c>
      <c r="N14" s="294">
        <f>M14/0.4846*100</f>
        <v>119.52254323412433</v>
      </c>
      <c r="O14" s="286">
        <f>(N14-100)/100*P14*0.3389</f>
        <v>34.007216096509936</v>
      </c>
      <c r="P14" s="300">
        <v>514</v>
      </c>
      <c r="Q14" s="300">
        <f>P14-X14-AA14-AB14-AC14</f>
        <v>457</v>
      </c>
      <c r="R14" s="300" t="s">
        <v>19</v>
      </c>
      <c r="S14" s="300">
        <v>134</v>
      </c>
      <c r="T14" s="300">
        <v>28</v>
      </c>
      <c r="U14" s="300">
        <v>9</v>
      </c>
      <c r="V14" s="300">
        <v>22</v>
      </c>
      <c r="W14" s="300">
        <v>61</v>
      </c>
      <c r="X14" s="300">
        <v>52</v>
      </c>
      <c r="Y14" s="300">
        <v>83</v>
      </c>
      <c r="Z14" s="300">
        <f>S14+T14+U14*2+V14*3</f>
        <v>246</v>
      </c>
      <c r="AA14" s="300">
        <v>4</v>
      </c>
      <c r="AB14" s="300">
        <v>1</v>
      </c>
      <c r="AC14" s="300">
        <v>0</v>
      </c>
      <c r="AD14" s="9"/>
      <c r="AE14" s="6">
        <v>2009</v>
      </c>
      <c r="AF14" s="85">
        <v>0.51966329080371787</v>
      </c>
      <c r="AG14" s="86">
        <v>0.487731634571687</v>
      </c>
      <c r="AH14" s="78">
        <v>7.3000000000000001E-3</v>
      </c>
      <c r="AI14" s="9"/>
    </row>
    <row r="15" spans="1:35" x14ac:dyDescent="0.2">
      <c r="A15" s="9"/>
      <c r="B15" s="301">
        <v>1981</v>
      </c>
      <c r="C15" s="302" t="s">
        <v>452</v>
      </c>
      <c r="D15" s="303">
        <f>(S15-V15)/(Q15-V15-Y15+AC15)</f>
        <v>0.26008064516129031</v>
      </c>
      <c r="E15" s="303">
        <f>Z15/P15</f>
        <v>0.25197889182058048</v>
      </c>
      <c r="F15" s="303">
        <f>(T15+U15+V15)/S15</f>
        <v>0.18571428571428572</v>
      </c>
      <c r="G15" s="303">
        <f>(Z15+R15)/P15</f>
        <v>0.32453825857519791</v>
      </c>
      <c r="H15" s="303">
        <f>(Z15/Q15)+((S15+X15+AA15)/(Q15+X15+AA15+AC15))</f>
        <v>0.54893268998040279</v>
      </c>
      <c r="I15" s="303">
        <f>V15/Z15</f>
        <v>5.7591623036649213E-2</v>
      </c>
      <c r="J15" s="303">
        <f>(AB15+AC15)/Z15</f>
        <v>6.2827225130890049E-2</v>
      </c>
      <c r="K15" s="303">
        <f>Y15/P15</f>
        <v>0.23746701846965698</v>
      </c>
      <c r="L15" s="303">
        <f>(X15+AA15)/P15</f>
        <v>8.1794195250659632E-2</v>
      </c>
      <c r="M15" s="304">
        <f>(1-D15*0.7635+1-E15*0.7562+1-F15*0.75+1-G15*0.7248+1-H15*0.7021+1-I15*0.6285+J15*0.5884+K15*0.5276+1-L15*0.3663)/11.068</f>
        <v>0.53732046377856246</v>
      </c>
      <c r="N15" s="308">
        <f>M15/0.5043*100</f>
        <v>106.54778183195765</v>
      </c>
      <c r="O15" s="307">
        <f>(N15-100)/100*P15*0.6611</f>
        <v>32.811838353832592</v>
      </c>
      <c r="P15" s="300">
        <v>758</v>
      </c>
      <c r="Q15" s="300">
        <f>P15-X15-AA15-AB15-AC15</f>
        <v>684</v>
      </c>
      <c r="R15" s="300">
        <v>55</v>
      </c>
      <c r="S15" s="300">
        <v>140</v>
      </c>
      <c r="T15" s="300">
        <v>12</v>
      </c>
      <c r="U15" s="300">
        <v>3</v>
      </c>
      <c r="V15" s="300">
        <v>11</v>
      </c>
      <c r="W15" s="300" t="s">
        <v>19</v>
      </c>
      <c r="X15" s="300">
        <v>61</v>
      </c>
      <c r="Y15" s="300">
        <v>180</v>
      </c>
      <c r="Z15" s="300">
        <f>S15+T15+U15*2+V15*3</f>
        <v>191</v>
      </c>
      <c r="AA15" s="300">
        <v>1</v>
      </c>
      <c r="AB15" s="300">
        <v>9</v>
      </c>
      <c r="AC15" s="300">
        <v>3</v>
      </c>
      <c r="AD15" s="9"/>
      <c r="AE15" s="6">
        <v>2008</v>
      </c>
      <c r="AF15" s="85">
        <v>0.51947502005651314</v>
      </c>
      <c r="AG15" s="86">
        <v>0.48784953342865089</v>
      </c>
      <c r="AH15" s="78">
        <v>7.2700000000000004E-3</v>
      </c>
      <c r="AI15" s="9"/>
    </row>
    <row r="16" spans="1:35" x14ac:dyDescent="0.2">
      <c r="A16" s="9"/>
      <c r="B16" s="298">
        <v>1956</v>
      </c>
      <c r="C16" s="299" t="s">
        <v>137</v>
      </c>
      <c r="D16" s="292">
        <f>(S16-V16)/(Q16-V16-Y16+AC16)</f>
        <v>0.28893905191873587</v>
      </c>
      <c r="E16" s="292">
        <f>Z16/P16</f>
        <v>0.47754491017964074</v>
      </c>
      <c r="F16" s="292">
        <f>(T16+U16+V16)/S16</f>
        <v>0.42771084337349397</v>
      </c>
      <c r="G16" s="292">
        <f>(Z16+W16)/P16</f>
        <v>0.60179640718562877</v>
      </c>
      <c r="H16" s="292">
        <f>(Z16/Q16)+((S16+X16+AA16)/(Q16+X16+AA16+AC16))</f>
        <v>0.93648018648018649</v>
      </c>
      <c r="I16" s="292">
        <f>V16/Z16</f>
        <v>0.11912225705329153</v>
      </c>
      <c r="J16" s="292">
        <f>(AB16+AC16)/Z16</f>
        <v>3.7617554858934171E-2</v>
      </c>
      <c r="K16" s="292">
        <f>Y16/P16</f>
        <v>0.14221556886227546</v>
      </c>
      <c r="L16" s="292">
        <f>(X16+AA16)/P16</f>
        <v>0.12574850299401197</v>
      </c>
      <c r="M16" s="293">
        <f>(D16*0.7635+E16*0.7562+F16*0.75+G16*0.7248+H16*0.7021+I16*0.6285+1-J16*0.5884+1-K16*0.5276+L16*0.3663)/6.931</f>
        <v>0.5799964285669843</v>
      </c>
      <c r="N16" s="294">
        <f>M16/0.5079*100</f>
        <v>114.19500464008354</v>
      </c>
      <c r="O16" s="286">
        <f>(N16-100)/100*P16*0.3389</f>
        <v>32.1353896444624</v>
      </c>
      <c r="P16" s="300">
        <v>668</v>
      </c>
      <c r="Q16" s="300">
        <f>P16-X16-AA16-AB16-AC16</f>
        <v>572</v>
      </c>
      <c r="R16" s="300" t="s">
        <v>19</v>
      </c>
      <c r="S16" s="300">
        <v>166</v>
      </c>
      <c r="T16" s="300">
        <v>27</v>
      </c>
      <c r="U16" s="300">
        <v>6</v>
      </c>
      <c r="V16" s="300">
        <v>38</v>
      </c>
      <c r="W16" s="300">
        <v>83</v>
      </c>
      <c r="X16" s="300">
        <v>64</v>
      </c>
      <c r="Y16" s="300">
        <v>95</v>
      </c>
      <c r="Z16" s="300">
        <f>S16+T16+U16*2+V16*3</f>
        <v>319</v>
      </c>
      <c r="AA16" s="300">
        <v>20</v>
      </c>
      <c r="AB16" s="300">
        <v>8</v>
      </c>
      <c r="AC16" s="300">
        <v>4</v>
      </c>
      <c r="AD16" s="9"/>
      <c r="AE16" s="6">
        <v>2007</v>
      </c>
      <c r="AF16" s="85">
        <v>0.52253591025770185</v>
      </c>
      <c r="AG16" s="86">
        <v>0.48593274358545985</v>
      </c>
      <c r="AH16" s="78">
        <v>7.6400000000000001E-3</v>
      </c>
      <c r="AI16" s="9"/>
    </row>
    <row r="17" spans="1:35" x14ac:dyDescent="0.2">
      <c r="A17" s="9"/>
      <c r="B17" s="298">
        <v>2019</v>
      </c>
      <c r="C17" s="299" t="s">
        <v>518</v>
      </c>
      <c r="D17" s="292">
        <f>(S17-V17)/(Q17-V17-Y17+AC17)</f>
        <v>0.28021978021978022</v>
      </c>
      <c r="E17" s="292">
        <f>Z17/P17</f>
        <v>0.50216450216450215</v>
      </c>
      <c r="F17" s="292">
        <f>(T17+U17+V17)/S17</f>
        <v>0.54838709677419351</v>
      </c>
      <c r="G17" s="292">
        <f>(Z17+W17)/P17</f>
        <v>0.67532467532467533</v>
      </c>
      <c r="H17" s="292">
        <f>(Z17/Q17)+((S17+X17+AA17)/(Q17+X17+AA17+AC17))</f>
        <v>0.94077893072867946</v>
      </c>
      <c r="I17" s="292">
        <f>V17/Z17</f>
        <v>0.15229885057471265</v>
      </c>
      <c r="J17" s="292">
        <f>(AB17+AC17)/Z17</f>
        <v>8.6206896551724137E-3</v>
      </c>
      <c r="K17" s="292">
        <f>Y17/P17</f>
        <v>0.26406926406926406</v>
      </c>
      <c r="L17" s="292">
        <f>(X17+AA17)/P17</f>
        <v>0.13419913419913421</v>
      </c>
      <c r="M17" s="293">
        <f>(D17*0.7635+E17*0.7562+F17*0.75+G17*0.7248+H17*0.7021+I17*0.6285+1-J17*0.5884+1-K17*0.5276+L17*0.3663)/6.931</f>
        <v>0.59954591634431942</v>
      </c>
      <c r="N17" s="294">
        <f>M17/0.529*100</f>
        <v>113.33571197435148</v>
      </c>
      <c r="O17" s="286">
        <f>(N17-100)/100*P17*0.3389</f>
        <v>31.319946421586483</v>
      </c>
      <c r="P17" s="300">
        <v>693</v>
      </c>
      <c r="Q17" s="300">
        <f>P17-X17-AA17-AB17-AC17</f>
        <v>597</v>
      </c>
      <c r="R17" s="300" t="s">
        <v>19</v>
      </c>
      <c r="S17" s="300">
        <v>155</v>
      </c>
      <c r="T17" s="300">
        <v>30</v>
      </c>
      <c r="U17" s="300">
        <v>2</v>
      </c>
      <c r="V17" s="300">
        <v>53</v>
      </c>
      <c r="W17" s="300">
        <v>120</v>
      </c>
      <c r="X17" s="300">
        <v>72</v>
      </c>
      <c r="Y17" s="300">
        <v>183</v>
      </c>
      <c r="Z17" s="300">
        <f>S17+T17+U17*2+V17*3</f>
        <v>348</v>
      </c>
      <c r="AA17" s="300">
        <v>21</v>
      </c>
      <c r="AB17" s="300">
        <v>0</v>
      </c>
      <c r="AC17" s="300">
        <v>3</v>
      </c>
      <c r="AD17" s="9"/>
      <c r="AE17" s="6">
        <v>2006</v>
      </c>
      <c r="AF17" s="85">
        <v>0.52668968436169938</v>
      </c>
      <c r="AG17" s="86">
        <v>0.48333156827692997</v>
      </c>
      <c r="AH17" s="78">
        <v>7.4200000000000004E-3</v>
      </c>
      <c r="AI17" s="9"/>
    </row>
    <row r="18" spans="1:35" x14ac:dyDescent="0.2">
      <c r="A18" s="9"/>
      <c r="B18" s="298">
        <v>2007</v>
      </c>
      <c r="C18" s="299" t="s">
        <v>345</v>
      </c>
      <c r="D18" s="292">
        <f>(S18-V18)/(Q18-V18-Y18+AC18)</f>
        <v>0.36129032258064514</v>
      </c>
      <c r="E18" s="291">
        <f>Z18/P18</f>
        <v>0.58130081300813008</v>
      </c>
      <c r="F18" s="292">
        <f>(T18+U18+V18)/S18</f>
        <v>0.45205479452054792</v>
      </c>
      <c r="G18" s="291">
        <f>(Z18+W18)/P18</f>
        <v>0.77845528455284552</v>
      </c>
      <c r="H18" s="292">
        <f>(Z18/Q18)+((S18+X18+AA18)/(Q18+X18+AA18+AC18))</f>
        <v>1.0040650406504066</v>
      </c>
      <c r="I18" s="292">
        <f>V18/Z18</f>
        <v>0.11888111888111888</v>
      </c>
      <c r="J18" s="292">
        <f>(AB18+AC18)/Z18</f>
        <v>1.7482517482517484E-2</v>
      </c>
      <c r="K18" s="292">
        <f>Y18/P18</f>
        <v>0.22764227642276422</v>
      </c>
      <c r="L18" s="292">
        <f>(X18+AA18)/P18</f>
        <v>7.3170731707317069E-2</v>
      </c>
      <c r="M18" s="293">
        <f>(D18*0.7635+E18*0.7562+F18*0.75+G18*0.7248+H18*0.7021+I18*0.6285+1-J18*0.5884+1-K18*0.5276+L18*0.3663)/6.931</f>
        <v>0.61964692413444578</v>
      </c>
      <c r="N18" s="294">
        <f>M18/0.5225*100</f>
        <v>118.59271275300398</v>
      </c>
      <c r="O18" s="286">
        <f>(N18-100)/100*P18*0.3389</f>
        <v>31.001266131805796</v>
      </c>
      <c r="P18" s="300">
        <v>492</v>
      </c>
      <c r="Q18" s="300">
        <f>P18-X18-AA18-AB18-AC18</f>
        <v>451</v>
      </c>
      <c r="R18" s="300" t="s">
        <v>19</v>
      </c>
      <c r="S18" s="300">
        <v>146</v>
      </c>
      <c r="T18" s="300">
        <v>26</v>
      </c>
      <c r="U18" s="300">
        <v>6</v>
      </c>
      <c r="V18" s="300">
        <v>34</v>
      </c>
      <c r="W18" s="300">
        <v>97</v>
      </c>
      <c r="X18" s="300">
        <v>29</v>
      </c>
      <c r="Y18" s="300">
        <v>112</v>
      </c>
      <c r="Z18" s="300">
        <f>S18+T18+U18*2+V18*3</f>
        <v>286</v>
      </c>
      <c r="AA18" s="300">
        <v>7</v>
      </c>
      <c r="AB18" s="300">
        <v>0</v>
      </c>
      <c r="AC18" s="300">
        <v>5</v>
      </c>
      <c r="AD18" s="9"/>
      <c r="AE18" s="6">
        <v>2005</v>
      </c>
      <c r="AF18" s="85">
        <v>0.52041670633403203</v>
      </c>
      <c r="AG18" s="86">
        <v>0.48725983089978531</v>
      </c>
      <c r="AH18" s="78">
        <v>7.0600000000000003E-3</v>
      </c>
      <c r="AI18" s="9"/>
    </row>
    <row r="19" spans="1:35" x14ac:dyDescent="0.2">
      <c r="A19" s="9"/>
      <c r="B19" s="298">
        <v>1993</v>
      </c>
      <c r="C19" s="299" t="s">
        <v>39</v>
      </c>
      <c r="D19" s="292">
        <f>(S19-V19)/(Q19-V19-Y19+AC19)</f>
        <v>0.32175925925925924</v>
      </c>
      <c r="E19" s="292">
        <f>Z19/P19</f>
        <v>0.50996677740863783</v>
      </c>
      <c r="F19" s="292">
        <f>(T19+U19+V19)/S19</f>
        <v>0.35057471264367818</v>
      </c>
      <c r="G19" s="292">
        <f>(Z19+W19)/P19</f>
        <v>0.6960132890365448</v>
      </c>
      <c r="H19" s="292">
        <f>(Z19/Q19)+((S19+X19+AA19)/(Q19+X19+AA19+AC19))</f>
        <v>0.93167503811183927</v>
      </c>
      <c r="I19" s="292">
        <f>V19/Z19</f>
        <v>0.11400651465798045</v>
      </c>
      <c r="J19" s="292">
        <f>(AB19+AC19)/Z19</f>
        <v>1.9543973941368076E-2</v>
      </c>
      <c r="K19" s="292">
        <f>Y19/P19</f>
        <v>0.14285714285714285</v>
      </c>
      <c r="L19" s="292">
        <f>(X19+AA19)/P19</f>
        <v>8.1395348837209308E-2</v>
      </c>
      <c r="M19" s="293">
        <f>(D19*0.7635+E19*0.7562+F19*0.75+G19*0.7248+H19*0.7021+I19*0.6285+1-J19*0.5884+1-K19*0.5276+L19*0.3663)/6.931</f>
        <v>0.58684572068369734</v>
      </c>
      <c r="N19" s="294">
        <f>M19/0.5113*100</f>
        <v>114.77522407269653</v>
      </c>
      <c r="O19" s="286">
        <f>(N19-100)/100*P19*0.3389</f>
        <v>30.144087098185857</v>
      </c>
      <c r="P19" s="300">
        <v>602</v>
      </c>
      <c r="Q19" s="300">
        <f>P19-X19-AA19-AB19-AC19</f>
        <v>547</v>
      </c>
      <c r="R19" s="300" t="s">
        <v>19</v>
      </c>
      <c r="S19" s="300">
        <v>174</v>
      </c>
      <c r="T19" s="300">
        <v>24</v>
      </c>
      <c r="U19" s="300">
        <v>2</v>
      </c>
      <c r="V19" s="300">
        <v>35</v>
      </c>
      <c r="W19" s="300">
        <v>112</v>
      </c>
      <c r="X19" s="300">
        <v>46</v>
      </c>
      <c r="Y19" s="300">
        <v>86</v>
      </c>
      <c r="Z19" s="300">
        <f>S19+T19+U19*2+V19*3</f>
        <v>307</v>
      </c>
      <c r="AA19" s="300">
        <v>3</v>
      </c>
      <c r="AB19" s="300">
        <v>0</v>
      </c>
      <c r="AC19" s="300">
        <v>6</v>
      </c>
      <c r="AD19" s="9"/>
      <c r="AE19" s="6">
        <v>2004</v>
      </c>
      <c r="AF19" s="85">
        <v>0.524617865652383</v>
      </c>
      <c r="AG19" s="86">
        <v>0.48462898203499583</v>
      </c>
      <c r="AH19" s="78">
        <v>7.2300000000000003E-3</v>
      </c>
      <c r="AI19" s="9"/>
    </row>
    <row r="20" spans="1:35" x14ac:dyDescent="0.2">
      <c r="A20" s="9"/>
      <c r="B20" s="298">
        <v>1984</v>
      </c>
      <c r="C20" s="299" t="s">
        <v>566</v>
      </c>
      <c r="D20" s="292">
        <f>(S20-V20)/(Q20-V20-Y20+AC20)</f>
        <v>0.2857142857142857</v>
      </c>
      <c r="E20" s="292">
        <f>Z20/P20</f>
        <v>0.41592920353982299</v>
      </c>
      <c r="F20" s="292">
        <f>(T20+U20+V20)/S20</f>
        <v>0.39751552795031053</v>
      </c>
      <c r="G20" s="292">
        <f>(Z20+W20)/P20</f>
        <v>0.58702064896755157</v>
      </c>
      <c r="H20" s="292">
        <f>(Z20/Q20)+((S20+X20+AA20)/(Q20+X20+AA20+AC20))</f>
        <v>0.88820995458163599</v>
      </c>
      <c r="I20" s="292">
        <f>V20/Z20</f>
        <v>9.5744680851063829E-2</v>
      </c>
      <c r="J20" s="292">
        <f>(AB20+AC20)/Z20</f>
        <v>2.4822695035460994E-2</v>
      </c>
      <c r="K20" s="292">
        <f>Y20/P20</f>
        <v>0.11504424778761062</v>
      </c>
      <c r="L20" s="292">
        <f>(X20+AA20)/P20</f>
        <v>0.15339233038348082</v>
      </c>
      <c r="M20" s="293">
        <f>(D20*0.7635+E20*0.7562+F20*0.75+G20*0.7248+H20*0.7021+I20*0.6285+1-J20*0.5884+1-K20*0.5276+L20*0.3663)/6.931</f>
        <v>0.56571202798277398</v>
      </c>
      <c r="N20" s="294">
        <f>M20/0.5017*100</f>
        <v>112.75902491185448</v>
      </c>
      <c r="O20" s="286">
        <f>(N20-100)/100*P20*0.3389</f>
        <v>29.31694741901434</v>
      </c>
      <c r="P20" s="300">
        <v>678</v>
      </c>
      <c r="Q20" s="300">
        <f>P20-X20-AA20-AB20-AC20</f>
        <v>567</v>
      </c>
      <c r="R20" s="300" t="s">
        <v>19</v>
      </c>
      <c r="S20" s="300">
        <v>161</v>
      </c>
      <c r="T20" s="300">
        <v>34</v>
      </c>
      <c r="U20" s="300">
        <v>3</v>
      </c>
      <c r="V20" s="300">
        <v>27</v>
      </c>
      <c r="W20" s="300">
        <v>116</v>
      </c>
      <c r="X20" s="300">
        <v>97</v>
      </c>
      <c r="Y20" s="300">
        <v>78</v>
      </c>
      <c r="Z20" s="300">
        <f>S20+T20+U20*2+V20*3</f>
        <v>282</v>
      </c>
      <c r="AA20" s="300">
        <v>7</v>
      </c>
      <c r="AB20" s="300">
        <v>0</v>
      </c>
      <c r="AC20" s="300">
        <v>7</v>
      </c>
      <c r="AD20" s="9"/>
      <c r="AE20" s="6">
        <v>2003</v>
      </c>
      <c r="AF20" s="85">
        <v>0.52222897637145071</v>
      </c>
      <c r="AG20" s="86">
        <v>0.48612495164162228</v>
      </c>
      <c r="AH20" s="78">
        <v>7.1300000000000001E-3</v>
      </c>
      <c r="AI20" s="9"/>
    </row>
    <row r="21" spans="1:35" x14ac:dyDescent="0.2">
      <c r="A21" s="9"/>
      <c r="B21" s="298">
        <v>2012</v>
      </c>
      <c r="C21" s="299" t="s">
        <v>310</v>
      </c>
      <c r="D21" s="291">
        <f>(S21-V21)/(Q21-V21-Y21+AC21)</f>
        <v>0.38287153652392947</v>
      </c>
      <c r="E21" s="292">
        <f>Z21/P21</f>
        <v>0.49295774647887325</v>
      </c>
      <c r="F21" s="292">
        <f>(T21+U21+V21)/S21</f>
        <v>0.35714285714285715</v>
      </c>
      <c r="G21" s="292">
        <f>(Z21+W21)/P21</f>
        <v>0.62284820031298904</v>
      </c>
      <c r="H21" s="292">
        <f>(Z21/Q21)+((S21+X21+AA21)/(Q21+X21+AA21+AC21))</f>
        <v>0.96256729404452956</v>
      </c>
      <c r="I21" s="292">
        <f>V21/Z21</f>
        <v>9.5238095238095233E-2</v>
      </c>
      <c r="J21" s="292">
        <f>(AB21+AC21)/Z21</f>
        <v>2.2222222222222223E-2</v>
      </c>
      <c r="K21" s="292">
        <f>Y21/P21</f>
        <v>0.21752738654147105</v>
      </c>
      <c r="L21" s="292">
        <f>(X21+AA21)/P21</f>
        <v>0.11424100156494522</v>
      </c>
      <c r="M21" s="293">
        <f>(D21*0.7635+E21*0.7562+F21*0.75+G21*0.7248+H21*0.7021+I21*0.6285+1-J21*0.5884+1-K21*0.5276+L21*0.3663)/6.931</f>
        <v>0.5820334293249968</v>
      </c>
      <c r="N21" s="294">
        <f>M21/0.5129*100</f>
        <v>113.47892948430432</v>
      </c>
      <c r="O21" s="286">
        <f>(N21-100)/100*P21*0.3389</f>
        <v>29.189578802254381</v>
      </c>
      <c r="P21" s="300">
        <v>639</v>
      </c>
      <c r="Q21" s="300">
        <f>P21-X21-AA21-AB21-AC21</f>
        <v>559</v>
      </c>
      <c r="R21" s="300" t="s">
        <v>19</v>
      </c>
      <c r="S21" s="300">
        <v>182</v>
      </c>
      <c r="T21" s="300">
        <v>27</v>
      </c>
      <c r="U21" s="300">
        <v>8</v>
      </c>
      <c r="V21" s="300">
        <v>30</v>
      </c>
      <c r="W21" s="300">
        <v>83</v>
      </c>
      <c r="X21" s="300">
        <v>67</v>
      </c>
      <c r="Y21" s="300">
        <v>139</v>
      </c>
      <c r="Z21" s="300">
        <f>S21+T21+U21*2+V21*3</f>
        <v>315</v>
      </c>
      <c r="AA21" s="300">
        <v>6</v>
      </c>
      <c r="AB21" s="300">
        <v>0</v>
      </c>
      <c r="AC21" s="300">
        <v>7</v>
      </c>
      <c r="AD21" s="9"/>
      <c r="AE21" s="6">
        <v>2002</v>
      </c>
      <c r="AF21" s="85">
        <v>0.51943315474021379</v>
      </c>
      <c r="AG21" s="86">
        <v>0.48787575031582736</v>
      </c>
      <c r="AH21" s="78">
        <v>7.4999999999999997E-3</v>
      </c>
      <c r="AI21" s="9"/>
    </row>
    <row r="22" spans="1:35" x14ac:dyDescent="0.2">
      <c r="A22" s="9"/>
      <c r="B22" s="301">
        <v>1979</v>
      </c>
      <c r="C22" s="302" t="s">
        <v>448</v>
      </c>
      <c r="D22" s="303">
        <f>(S22-V22)/(Q22-V22-Y22+AC22)</f>
        <v>0.26171875</v>
      </c>
      <c r="E22" s="303">
        <f>Z22/P22</f>
        <v>0.29232283464566927</v>
      </c>
      <c r="F22" s="303">
        <f>(T22+U22+V22)/S22</f>
        <v>0.2119815668202765</v>
      </c>
      <c r="G22" s="303">
        <f>(Z22+R22)/P22</f>
        <v>0.3986220472440945</v>
      </c>
      <c r="H22" s="303">
        <f>(Z22/Q22)+((S22+X22+AA22)/(Q22+X22+AA22+AC22))</f>
        <v>0.64895964125560535</v>
      </c>
      <c r="I22" s="303">
        <f>V22/Z22</f>
        <v>5.387205387205387E-2</v>
      </c>
      <c r="J22" s="303">
        <f>(AB22+AC22)/Z22</f>
        <v>8.4175084175084181E-2</v>
      </c>
      <c r="K22" s="303">
        <f>Y22/P22</f>
        <v>0.11515748031496063</v>
      </c>
      <c r="L22" s="303">
        <f>(X22+AA22)/P22</f>
        <v>9.7440944881889757E-2</v>
      </c>
      <c r="M22" s="304">
        <f>(1-D22*0.7635+1-E22*0.7562+1-F22*0.75+1-G22*0.7248+1-H22*0.7021+1-I22*0.6285+J22*0.5884+K22*0.5276+1-L22*0.3663)/11.068</f>
        <v>0.51647232651848829</v>
      </c>
      <c r="N22" s="308">
        <f>M22/0.4951*100</f>
        <v>104.31676964623071</v>
      </c>
      <c r="O22" s="307">
        <f>(N22-100)/100*P22*0.6611</f>
        <v>28.99477475733093</v>
      </c>
      <c r="P22" s="300">
        <v>1016</v>
      </c>
      <c r="Q22" s="300">
        <f>P22-X22-AA22-AB22-AC22</f>
        <v>892</v>
      </c>
      <c r="R22" s="300">
        <v>108</v>
      </c>
      <c r="S22" s="300">
        <v>217</v>
      </c>
      <c r="T22" s="300">
        <v>28</v>
      </c>
      <c r="U22" s="300">
        <v>2</v>
      </c>
      <c r="V22" s="300">
        <v>16</v>
      </c>
      <c r="W22" s="300" t="s">
        <v>19</v>
      </c>
      <c r="X22" s="300">
        <v>97</v>
      </c>
      <c r="Y22" s="300">
        <v>117</v>
      </c>
      <c r="Z22" s="300">
        <f>S22+T22+U22*2+V22*3</f>
        <v>297</v>
      </c>
      <c r="AA22" s="300">
        <v>2</v>
      </c>
      <c r="AB22" s="300">
        <v>16</v>
      </c>
      <c r="AC22" s="300">
        <v>9</v>
      </c>
      <c r="AD22" s="9"/>
      <c r="AE22" s="6">
        <v>2001</v>
      </c>
      <c r="AF22" s="85">
        <v>0.52408169181542585</v>
      </c>
      <c r="AG22" s="86">
        <v>0.48496474467178197</v>
      </c>
      <c r="AH22" s="78">
        <v>7.62E-3</v>
      </c>
      <c r="AI22" s="9"/>
    </row>
    <row r="23" spans="1:35" x14ac:dyDescent="0.2">
      <c r="A23" s="9"/>
      <c r="B23" s="301">
        <v>1955</v>
      </c>
      <c r="C23" s="302" t="s">
        <v>605</v>
      </c>
      <c r="D23" s="303">
        <f>(S23-V23)/(Q23-V23-Y23+AC23)</f>
        <v>0.25270758122743681</v>
      </c>
      <c r="E23" s="303">
        <f>Z23/P23</f>
        <v>0.25486182190378709</v>
      </c>
      <c r="F23" s="303">
        <f>(T23+U23+V23)/S23</f>
        <v>0.32278481012658228</v>
      </c>
      <c r="G23" s="303">
        <f>(Z23+R23)/P23</f>
        <v>0.34186284544524054</v>
      </c>
      <c r="H23" s="303">
        <f>(Z23/Q23)+((S23+X23+AA23)/(Q23+X23+AA23+AC23))</f>
        <v>0.62828952363597712</v>
      </c>
      <c r="I23" s="303">
        <f>V23/Z23</f>
        <v>7.2289156626506021E-2</v>
      </c>
      <c r="J23" s="303">
        <f>(AB23+AC23)/Z23</f>
        <v>3.614457831325301E-2</v>
      </c>
      <c r="K23" s="303">
        <f>Y23/P23</f>
        <v>0.25076765609007162</v>
      </c>
      <c r="L23" s="303">
        <f>(X23+AA23)/P23</f>
        <v>0.1586489252814739</v>
      </c>
      <c r="M23" s="304">
        <f>(1-D23*0.7635+1-E23*0.7562+1-F23*0.75+1-G23*0.7248+1-H23*0.7021+1-I23*0.6285+J23*0.5884+K23*0.5276+1-L23*0.3663)/11.068</f>
        <v>0.51801265164917043</v>
      </c>
      <c r="N23" s="308">
        <f>M23/0.4961*100</f>
        <v>104.4169827956401</v>
      </c>
      <c r="O23" s="307">
        <f>(N23-100)/100*P23*0.6611</f>
        <v>28.529057776951205</v>
      </c>
      <c r="P23" s="300">
        <v>977</v>
      </c>
      <c r="Q23" s="300">
        <f>P23-X23-AA23-AB23-AC23</f>
        <v>813</v>
      </c>
      <c r="R23" s="300">
        <v>85</v>
      </c>
      <c r="S23" s="300">
        <v>158</v>
      </c>
      <c r="T23" s="300">
        <v>29</v>
      </c>
      <c r="U23" s="300">
        <v>4</v>
      </c>
      <c r="V23" s="300">
        <v>18</v>
      </c>
      <c r="W23" s="300" t="s">
        <v>19</v>
      </c>
      <c r="X23" s="300">
        <v>154</v>
      </c>
      <c r="Y23" s="300">
        <v>245</v>
      </c>
      <c r="Z23" s="300">
        <f>S23+T23+U23*2+V23*3</f>
        <v>249</v>
      </c>
      <c r="AA23" s="300">
        <v>1</v>
      </c>
      <c r="AB23" s="300">
        <v>5</v>
      </c>
      <c r="AC23" s="300">
        <v>4</v>
      </c>
      <c r="AD23" s="9"/>
      <c r="AE23" s="6">
        <v>2000</v>
      </c>
      <c r="AF23" s="85">
        <v>0.52957445975095985</v>
      </c>
      <c r="AG23" s="86">
        <v>0.48152506500416498</v>
      </c>
      <c r="AH23" s="78">
        <v>7.9600000000000001E-3</v>
      </c>
      <c r="AI23" s="9"/>
    </row>
    <row r="24" spans="1:35" x14ac:dyDescent="0.2">
      <c r="A24" s="9"/>
      <c r="B24" s="301">
        <v>1976</v>
      </c>
      <c r="C24" s="302" t="s">
        <v>576</v>
      </c>
      <c r="D24" s="303">
        <f>(S24-V24)/(Q24-V24-Y24+AC24)</f>
        <v>0.2503052503052503</v>
      </c>
      <c r="E24" s="303">
        <f>Z24/P24</f>
        <v>0.27911646586345379</v>
      </c>
      <c r="F24" s="303">
        <f>(T24+U24+V24)/S24</f>
        <v>0.16129032258064516</v>
      </c>
      <c r="G24" s="303">
        <f>(Z24+R24)/P24</f>
        <v>0.35542168674698793</v>
      </c>
      <c r="H24" s="303">
        <f>(Z24/Q24)+((S24+X24+AA24)/(Q24+X24+AA24+AC24))</f>
        <v>0.57863079037074228</v>
      </c>
      <c r="I24" s="303">
        <f>V24/Z24</f>
        <v>4.3165467625899283E-2</v>
      </c>
      <c r="J24" s="303">
        <f>(AB24+AC24)/Z24</f>
        <v>6.1151079136690649E-2</v>
      </c>
      <c r="K24" s="303">
        <f>Y24/P24</f>
        <v>9.7389558232931731E-2</v>
      </c>
      <c r="L24" s="314">
        <f>(X24+AA24)/P24</f>
        <v>5.6224899598393573E-2</v>
      </c>
      <c r="M24" s="304">
        <f>(1-D24*0.7635+1-E24*0.7562+1-F24*0.75+1-G24*0.7248+1-H24*0.7021+1-I24*0.6285+J24*0.5884+K24*0.5276+1-L24*0.3663)/11.068</f>
        <v>0.52878834118711171</v>
      </c>
      <c r="N24" s="308">
        <f>M24/0.5072*100</f>
        <v>104.25637641701731</v>
      </c>
      <c r="O24" s="307">
        <f>(N24-100)/100*P24*0.6611</f>
        <v>28.026348874929816</v>
      </c>
      <c r="P24" s="300">
        <v>996</v>
      </c>
      <c r="Q24" s="300">
        <f>P24-X24-AA24-AB24-AC24</f>
        <v>923</v>
      </c>
      <c r="R24" s="300">
        <v>76</v>
      </c>
      <c r="S24" s="300">
        <v>217</v>
      </c>
      <c r="T24" s="300">
        <v>21</v>
      </c>
      <c r="U24" s="300">
        <v>2</v>
      </c>
      <c r="V24" s="300">
        <v>12</v>
      </c>
      <c r="W24" s="300" t="s">
        <v>19</v>
      </c>
      <c r="X24" s="300">
        <v>53</v>
      </c>
      <c r="Y24" s="300">
        <v>97</v>
      </c>
      <c r="Z24" s="300">
        <f>S24+T24+U24*2+V24*3</f>
        <v>278</v>
      </c>
      <c r="AA24" s="300">
        <v>3</v>
      </c>
      <c r="AB24" s="300">
        <v>12</v>
      </c>
      <c r="AC24" s="300">
        <v>5</v>
      </c>
      <c r="AD24" s="9"/>
      <c r="AE24" s="6">
        <v>1999</v>
      </c>
      <c r="AF24" s="85">
        <v>0.5277910814556559</v>
      </c>
      <c r="AG24" s="86">
        <v>0.48264185168330759</v>
      </c>
      <c r="AH24" s="78">
        <v>7.7200000000000003E-3</v>
      </c>
      <c r="AI24" s="9"/>
    </row>
    <row r="25" spans="1:35" x14ac:dyDescent="0.2">
      <c r="A25" s="9"/>
      <c r="B25" s="298">
        <v>1993</v>
      </c>
      <c r="C25" s="299" t="s">
        <v>552</v>
      </c>
      <c r="D25" s="292">
        <f>(S25-V25)/(Q25-V25-Y25+AC25)</f>
        <v>0.32212885154061627</v>
      </c>
      <c r="E25" s="292">
        <f>Z25/P25</f>
        <v>0.4524590163934426</v>
      </c>
      <c r="F25" s="292">
        <f>(T25+U25+V25)/S25</f>
        <v>0.4589041095890411</v>
      </c>
      <c r="G25" s="292">
        <f>(Z25+W25)/P25</f>
        <v>0.6081967213114754</v>
      </c>
      <c r="H25" s="292">
        <f>(Z25/Q25)+((S25+X25+AA25)/(Q25+X25+AA25+AC25))</f>
        <v>0.91788954321184146</v>
      </c>
      <c r="I25" s="292">
        <f>V25/Z25</f>
        <v>0.11231884057971014</v>
      </c>
      <c r="J25" s="292">
        <f>(AB25+AC25)/Z25</f>
        <v>2.8985507246376812E-2</v>
      </c>
      <c r="K25" s="292">
        <f>Y25/P25</f>
        <v>0.22131147540983606</v>
      </c>
      <c r="L25" s="292">
        <f>(X25+AA25)/P25</f>
        <v>0.14262295081967213</v>
      </c>
      <c r="M25" s="293">
        <f>(D25*0.7635+E25*0.7562+F25*0.75+G25*0.7248+H25*0.7021+I25*0.6285+1-J25*0.5884+1-K25*0.5276+L25*0.3663)/6.931</f>
        <v>0.57806382509521714</v>
      </c>
      <c r="N25" s="294">
        <f>M25/0.5113*100</f>
        <v>113.05766186098516</v>
      </c>
      <c r="O25" s="286">
        <f>(N25-100)/100*P25*0.3389</f>
        <v>26.993973788596019</v>
      </c>
      <c r="P25" s="300">
        <v>610</v>
      </c>
      <c r="Q25" s="300">
        <f>P25-X25-AA25-AB25-AC25</f>
        <v>515</v>
      </c>
      <c r="R25" s="300" t="s">
        <v>19</v>
      </c>
      <c r="S25" s="300">
        <v>146</v>
      </c>
      <c r="T25" s="300">
        <v>35</v>
      </c>
      <c r="U25" s="300">
        <v>1</v>
      </c>
      <c r="V25" s="300">
        <v>31</v>
      </c>
      <c r="W25" s="300">
        <v>95</v>
      </c>
      <c r="X25" s="300">
        <v>82</v>
      </c>
      <c r="Y25" s="300">
        <v>135</v>
      </c>
      <c r="Z25" s="300">
        <f>S25+T25+U25*2+V25*3</f>
        <v>276</v>
      </c>
      <c r="AA25" s="300">
        <v>5</v>
      </c>
      <c r="AB25" s="300">
        <v>0</v>
      </c>
      <c r="AC25" s="300">
        <v>8</v>
      </c>
      <c r="AD25" s="9"/>
      <c r="AE25" s="6">
        <v>1998</v>
      </c>
      <c r="AF25" s="85">
        <v>0.52075501059617446</v>
      </c>
      <c r="AG25" s="86">
        <v>0.48704797809522182</v>
      </c>
      <c r="AH25" s="78">
        <v>7.45E-3</v>
      </c>
      <c r="AI25" s="9"/>
    </row>
    <row r="26" spans="1:35" x14ac:dyDescent="0.2">
      <c r="A26" s="9"/>
      <c r="B26" s="298">
        <v>2017</v>
      </c>
      <c r="C26" s="299" t="s">
        <v>333</v>
      </c>
      <c r="D26" s="292">
        <f>(S26-V26)/(Q26-V26-Y26+AC26)</f>
        <v>0.29865771812080538</v>
      </c>
      <c r="E26" s="292">
        <f>Z26/P26</f>
        <v>0.50912408759124084</v>
      </c>
      <c r="F26" s="292">
        <f>(T26+U26+V26)/S26</f>
        <v>0.5390625</v>
      </c>
      <c r="G26" s="292">
        <f>(Z26+W26)/P26</f>
        <v>0.68613138686131392</v>
      </c>
      <c r="H26" s="292">
        <f>(Z26/Q26)+((S26+X26+AA26)/(Q26+X26+AA26+AC26))</f>
        <v>0.93343978102189784</v>
      </c>
      <c r="I26" s="292">
        <f>V26/Z26</f>
        <v>0.13978494623655913</v>
      </c>
      <c r="J26" s="292">
        <f>(AB26+AC26)/Z26</f>
        <v>1.0752688172043012E-2</v>
      </c>
      <c r="K26" s="292">
        <f>Y26/P26</f>
        <v>0.26642335766423358</v>
      </c>
      <c r="L26" s="292">
        <f>(X26+AA26)/P26</f>
        <v>0.11861313868613138</v>
      </c>
      <c r="M26" s="293">
        <f>(D26*0.7635+E26*0.7562+F26*0.75+G26*0.7248+H26*0.7021+I26*0.6285+1-J26*0.5884+1-K26*0.5276+L26*0.3663)/6.931</f>
        <v>0.59939529122213431</v>
      </c>
      <c r="N26" s="294">
        <f>M26/0.5241*100</f>
        <v>114.36658867050835</v>
      </c>
      <c r="O26" s="286">
        <f>(N26-100)/100*P26*0.3389</f>
        <v>26.68122621438533</v>
      </c>
      <c r="P26" s="300">
        <v>548</v>
      </c>
      <c r="Q26" s="300">
        <f>P26-X26-AA26-AB26-AC26</f>
        <v>480</v>
      </c>
      <c r="R26" s="300" t="s">
        <v>19</v>
      </c>
      <c r="S26" s="300">
        <v>128</v>
      </c>
      <c r="T26" s="300">
        <v>26</v>
      </c>
      <c r="U26" s="300">
        <v>4</v>
      </c>
      <c r="V26" s="300">
        <v>39</v>
      </c>
      <c r="W26" s="300">
        <v>97</v>
      </c>
      <c r="X26" s="300">
        <v>64</v>
      </c>
      <c r="Y26" s="300">
        <v>146</v>
      </c>
      <c r="Z26" s="300">
        <f>S26+T26+U26*2+V26*3</f>
        <v>279</v>
      </c>
      <c r="AA26" s="300">
        <v>1</v>
      </c>
      <c r="AB26" s="300">
        <v>0</v>
      </c>
      <c r="AC26" s="300">
        <v>3</v>
      </c>
      <c r="AD26" s="9"/>
      <c r="AE26" s="6">
        <v>1997</v>
      </c>
      <c r="AF26" s="85">
        <v>0.51991013827713672</v>
      </c>
      <c r="AG26" s="86">
        <v>0.48757705381289906</v>
      </c>
      <c r="AH26" s="78">
        <v>7.8799999999999999E-3</v>
      </c>
      <c r="AI26" s="9"/>
    </row>
    <row r="27" spans="1:35" x14ac:dyDescent="0.2">
      <c r="A27" s="9"/>
      <c r="B27" s="298">
        <v>1997</v>
      </c>
      <c r="C27" s="299" t="s">
        <v>545</v>
      </c>
      <c r="D27" s="292">
        <f>(S27-V27)/(Q27-V27-Y27+AC27)</f>
        <v>0.31458699472759227</v>
      </c>
      <c r="E27" s="292">
        <f>Z27/P27</f>
        <v>0.49727520435967304</v>
      </c>
      <c r="F27" s="292">
        <f>(T27+U27+V27)/S27</f>
        <v>0.40669856459330145</v>
      </c>
      <c r="G27" s="292">
        <f>(Z27+W27)/P27</f>
        <v>0.63079019073569487</v>
      </c>
      <c r="H27" s="292">
        <f>(Z27/Q27)+((S27+X27+AA27)/(Q27+X27+AA27+AC27))</f>
        <v>0.87515578563896068</v>
      </c>
      <c r="I27" s="292">
        <f>V27/Z27</f>
        <v>8.2191780821917804E-2</v>
      </c>
      <c r="J27" s="292">
        <f>(AB27+AC27)/Z27</f>
        <v>2.4657534246575342E-2</v>
      </c>
      <c r="K27" s="292">
        <f>Y27/P27</f>
        <v>0.12534059945504086</v>
      </c>
      <c r="L27" s="292">
        <f>(X27+AA27)/P27</f>
        <v>5.5858310626702996E-2</v>
      </c>
      <c r="M27" s="293">
        <f>(D27*0.7635+E27*0.7562+F27*0.75+G27*0.7248+H27*0.7021+I27*0.6285+1-J27*0.5884+1-K27*0.5276+L27*0.3663)/6.931</f>
        <v>0.57486285540392368</v>
      </c>
      <c r="N27" s="294">
        <f>M27/0.5199*100</f>
        <v>110.57181292631731</v>
      </c>
      <c r="O27" s="286">
        <f>(N27-100)/100*P27*0.3389</f>
        <v>26.297659521350383</v>
      </c>
      <c r="P27" s="300">
        <v>734</v>
      </c>
      <c r="Q27" s="300">
        <f>P27-X27-AA27-AB27-AC27</f>
        <v>684</v>
      </c>
      <c r="R27" s="300" t="s">
        <v>19</v>
      </c>
      <c r="S27" s="300">
        <v>209</v>
      </c>
      <c r="T27" s="300">
        <v>44</v>
      </c>
      <c r="U27" s="300">
        <v>11</v>
      </c>
      <c r="V27" s="300">
        <v>30</v>
      </c>
      <c r="W27" s="300">
        <v>98</v>
      </c>
      <c r="X27" s="300">
        <v>35</v>
      </c>
      <c r="Y27" s="300">
        <v>92</v>
      </c>
      <c r="Z27" s="300">
        <f>S27+T27+U27*2+V27*3</f>
        <v>365</v>
      </c>
      <c r="AA27" s="300">
        <v>6</v>
      </c>
      <c r="AB27" s="300">
        <v>2</v>
      </c>
      <c r="AC27" s="300">
        <v>7</v>
      </c>
      <c r="AD27" s="9"/>
      <c r="AE27" s="6">
        <v>1996</v>
      </c>
      <c r="AF27" s="85">
        <v>0.52376180683952944</v>
      </c>
      <c r="AG27" s="86">
        <v>0.48516506295583844</v>
      </c>
      <c r="AH27" s="78">
        <v>7.9000000000000008E-3</v>
      </c>
      <c r="AI27" s="9"/>
    </row>
    <row r="28" spans="1:35" x14ac:dyDescent="0.2">
      <c r="A28" s="9"/>
      <c r="B28" s="301">
        <v>2009</v>
      </c>
      <c r="C28" s="302" t="s">
        <v>529</v>
      </c>
      <c r="D28" s="303">
        <f>(S28-V28)/(Q28-V28-Y28+AC28)</f>
        <v>0.22</v>
      </c>
      <c r="E28" s="303">
        <f>Z28/P28</f>
        <v>0.2260061919504644</v>
      </c>
      <c r="F28" s="303">
        <f>(T28+U28+V28)/S28</f>
        <v>0.24489795918367346</v>
      </c>
      <c r="G28" s="303">
        <f>(Z28+R28)/P28</f>
        <v>0.27863777089783281</v>
      </c>
      <c r="H28" s="303">
        <f>(Z28/Q28)+((S28+X28+AA28)/(Q28+X28+AA28+AC28))</f>
        <v>0.47642431972789112</v>
      </c>
      <c r="I28" s="303">
        <f>V28/Z28</f>
        <v>6.8493150684931503E-2</v>
      </c>
      <c r="J28" s="303">
        <f>(AB28+AC28)/Z28</f>
        <v>6.8493150684931503E-2</v>
      </c>
      <c r="K28" s="303">
        <f>Y28/P28</f>
        <v>0.28173374613003094</v>
      </c>
      <c r="L28" s="303">
        <f>(X28+AA28)/P28</f>
        <v>7.4303405572755415E-2</v>
      </c>
      <c r="M28" s="304">
        <f>(1-D28*0.7635+1-E28*0.7562+1-F28*0.75+1-G28*0.7248+1-H28*0.7021+1-I28*0.6285+J28*0.5884+K28*0.5276+1-L28*0.3663)/11.068</f>
        <v>0.54749505680213595</v>
      </c>
      <c r="N28" s="308">
        <f>M28/0.4877*100</f>
        <v>112.26062267831369</v>
      </c>
      <c r="O28" s="307">
        <f>(N28-100)/100*P28*0.6611</f>
        <v>26.180757418005182</v>
      </c>
      <c r="P28" s="300">
        <v>323</v>
      </c>
      <c r="Q28" s="300">
        <f>P28-X28-AA28-AB28-AC28</f>
        <v>294</v>
      </c>
      <c r="R28" s="300">
        <v>17</v>
      </c>
      <c r="S28" s="300">
        <v>49</v>
      </c>
      <c r="T28" s="300">
        <v>5</v>
      </c>
      <c r="U28" s="300">
        <v>2</v>
      </c>
      <c r="V28" s="300">
        <v>5</v>
      </c>
      <c r="W28" s="300" t="s">
        <v>19</v>
      </c>
      <c r="X28" s="300">
        <v>24</v>
      </c>
      <c r="Y28" s="300">
        <v>91</v>
      </c>
      <c r="Z28" s="300">
        <f>S28+T28+U28*2+V28*3</f>
        <v>73</v>
      </c>
      <c r="AA28" s="300">
        <v>0</v>
      </c>
      <c r="AB28" s="300">
        <v>3</v>
      </c>
      <c r="AC28" s="300">
        <v>2</v>
      </c>
      <c r="AD28" s="9"/>
      <c r="AE28" s="6">
        <v>1995</v>
      </c>
      <c r="AF28" s="85">
        <v>0.51914620203764528</v>
      </c>
      <c r="AG28" s="86">
        <v>0.48805544576048798</v>
      </c>
      <c r="AH28" s="78">
        <v>7.4900000000000001E-3</v>
      </c>
      <c r="AI28" s="9"/>
    </row>
    <row r="29" spans="1:35" x14ac:dyDescent="0.2">
      <c r="A29" s="9"/>
      <c r="B29" s="298">
        <v>1990</v>
      </c>
      <c r="C29" s="299" t="s">
        <v>557</v>
      </c>
      <c r="D29" s="292">
        <f>(S29-V29)/(Q29-V29-Y29+AC29)</f>
        <v>0.3</v>
      </c>
      <c r="E29" s="292">
        <f>Z29/P29</f>
        <v>0.46626984126984128</v>
      </c>
      <c r="F29" s="292">
        <f>(T29+U29+V29)/S29</f>
        <v>0.42741935483870969</v>
      </c>
      <c r="G29" s="292">
        <f>(Z29+W29)/P29</f>
        <v>0.62103174603174605</v>
      </c>
      <c r="H29" s="292">
        <f>(Z29/Q29)+((S29+X29+AA29)/(Q29+X29+AA29+AC29))</f>
        <v>0.9083233901001555</v>
      </c>
      <c r="I29" s="292">
        <f>V29/Z29</f>
        <v>0.11914893617021277</v>
      </c>
      <c r="J29" s="292">
        <f>(AB29+AC29)/Z29</f>
        <v>4.2553191489361703E-3</v>
      </c>
      <c r="K29" s="292">
        <f>Y29/P29</f>
        <v>0.18253968253968253</v>
      </c>
      <c r="L29" s="292">
        <f>(X29+AA29)/P29</f>
        <v>0.12698412698412698</v>
      </c>
      <c r="M29" s="293">
        <f>(D29*0.7635+E29*0.7562+F29*0.75+G29*0.7248+H29*0.7021+I29*0.6285+1-J29*0.5884+1-K29*0.5276+L29*0.3663)/6.931</f>
        <v>0.57894287369968389</v>
      </c>
      <c r="N29" s="294">
        <f>M29/0.5025*100</f>
        <v>115.21251217904158</v>
      </c>
      <c r="O29" s="286">
        <f>(N29-100)/100*P29*0.3389</f>
        <v>25.983822702485046</v>
      </c>
      <c r="P29" s="300">
        <v>504</v>
      </c>
      <c r="Q29" s="300">
        <f>P29-X29-AA29-AB29-AC29</f>
        <v>439</v>
      </c>
      <c r="R29" s="300" t="s">
        <v>19</v>
      </c>
      <c r="S29" s="300">
        <v>124</v>
      </c>
      <c r="T29" s="300">
        <v>23</v>
      </c>
      <c r="U29" s="300">
        <v>2</v>
      </c>
      <c r="V29" s="300">
        <v>28</v>
      </c>
      <c r="W29" s="300">
        <v>78</v>
      </c>
      <c r="X29" s="300">
        <v>64</v>
      </c>
      <c r="Y29" s="300">
        <v>92</v>
      </c>
      <c r="Z29" s="300">
        <f>S29+T29+U29*2+V29*3</f>
        <v>235</v>
      </c>
      <c r="AA29" s="300">
        <v>0</v>
      </c>
      <c r="AB29" s="300">
        <v>0</v>
      </c>
      <c r="AC29" s="300">
        <v>1</v>
      </c>
      <c r="AD29" s="9"/>
      <c r="AE29" s="6">
        <v>1994</v>
      </c>
      <c r="AF29" s="85">
        <v>0.52250029028573575</v>
      </c>
      <c r="AG29" s="86">
        <v>0.48595504951477814</v>
      </c>
      <c r="AH29" s="78">
        <v>7.9699999999999997E-3</v>
      </c>
      <c r="AI29" s="9"/>
    </row>
    <row r="30" spans="1:35" x14ac:dyDescent="0.2">
      <c r="A30" s="9"/>
      <c r="B30" s="301">
        <v>1998</v>
      </c>
      <c r="C30" s="302" t="s">
        <v>544</v>
      </c>
      <c r="D30" s="303">
        <f>(S30-V30)/(Q30-V30-Y30+AC30)</f>
        <v>0.29096045197740111</v>
      </c>
      <c r="E30" s="303">
        <f>Z30/P30</f>
        <v>0.27324749642346208</v>
      </c>
      <c r="F30" s="303">
        <f>(T30+U30+V30)/S30</f>
        <v>0.35897435897435898</v>
      </c>
      <c r="G30" s="303">
        <f>(Z30+R30)/P30</f>
        <v>0.3719599427753934</v>
      </c>
      <c r="H30" s="303">
        <f>(Z30/Q30)+((S30+X30+AA30)/(Q30+X30+AA30+AC30))</f>
        <v>0.62552840722022363</v>
      </c>
      <c r="I30" s="303">
        <f>V30/Z30</f>
        <v>7.3298429319371722E-2</v>
      </c>
      <c r="J30" s="303">
        <f>(AB30+AC30)/Z30</f>
        <v>3.1413612565445025E-2</v>
      </c>
      <c r="K30" s="303">
        <f>Y30/P30</f>
        <v>0.33333333333333331</v>
      </c>
      <c r="L30" s="303">
        <f>(X30+AA30)/P30</f>
        <v>0.13733905579399142</v>
      </c>
      <c r="M30" s="304">
        <f>(1-D30*0.7635+1-E30*0.7562+1-F30*0.75+1-G30*0.7248+1-H30*0.7021+1-I30*0.6285+J30*0.5884+K30*0.5276+1-L30*0.3663)/11.068</f>
        <v>0.51420185986553568</v>
      </c>
      <c r="N30" s="308">
        <f>M30/0.487*100</f>
        <v>105.58559750832354</v>
      </c>
      <c r="O30" s="307">
        <f>(N30-100)/100*P30*0.6611</f>
        <v>25.811543204141344</v>
      </c>
      <c r="P30" s="300">
        <v>699</v>
      </c>
      <c r="Q30" s="300">
        <f>P30-X30-AA30-AB30-AC30</f>
        <v>597</v>
      </c>
      <c r="R30" s="300">
        <v>69</v>
      </c>
      <c r="S30" s="300">
        <v>117</v>
      </c>
      <c r="T30" s="300">
        <v>24</v>
      </c>
      <c r="U30" s="300">
        <v>4</v>
      </c>
      <c r="V30" s="300">
        <v>14</v>
      </c>
      <c r="W30" s="300" t="s">
        <v>19</v>
      </c>
      <c r="X30" s="300">
        <v>85</v>
      </c>
      <c r="Y30" s="300">
        <v>233</v>
      </c>
      <c r="Z30" s="300">
        <f>S30+T30+U30*2+V30*3</f>
        <v>191</v>
      </c>
      <c r="AA30" s="300">
        <v>11</v>
      </c>
      <c r="AB30" s="300">
        <v>2</v>
      </c>
      <c r="AC30" s="300">
        <v>4</v>
      </c>
      <c r="AD30" s="9"/>
      <c r="AE30" s="6">
        <v>1993</v>
      </c>
      <c r="AF30" s="85">
        <v>0.51131574761464249</v>
      </c>
      <c r="AG30" s="86">
        <v>0.4929590308351024</v>
      </c>
      <c r="AH30" s="78">
        <v>8.1899999999999994E-3</v>
      </c>
      <c r="AI30" s="9"/>
    </row>
    <row r="31" spans="1:35" x14ac:dyDescent="0.2">
      <c r="A31" s="9"/>
      <c r="B31" s="298">
        <v>1958</v>
      </c>
      <c r="C31" s="299" t="s">
        <v>90</v>
      </c>
      <c r="D31" s="292">
        <f>(S31-V31)/(Q31-V31-Y31+AC31)</f>
        <v>0.32405566600397612</v>
      </c>
      <c r="E31" s="292">
        <f>Z31/P31</f>
        <v>0.47981366459627328</v>
      </c>
      <c r="F31" s="292">
        <f>(T31+U31+V31)/S31</f>
        <v>0.35638297872340424</v>
      </c>
      <c r="G31" s="292">
        <f>(Z31+W31)/P31</f>
        <v>0.6288819875776398</v>
      </c>
      <c r="H31" s="292">
        <f>(Z31/Q31)+((S31+X31+AA31)/(Q31+X31+AA31+AC31))</f>
        <v>0.85405271777757175</v>
      </c>
      <c r="I31" s="292">
        <f>V31/Z31</f>
        <v>8.0906148867313912E-2</v>
      </c>
      <c r="J31" s="292">
        <f>(AB31+AC31)/Z31</f>
        <v>2.9126213592233011E-2</v>
      </c>
      <c r="K31" s="292">
        <f>Y31/P31</f>
        <v>0.13043478260869565</v>
      </c>
      <c r="L31" s="292">
        <f>(X31+AA31)/P31</f>
        <v>4.9689440993788817E-2</v>
      </c>
      <c r="M31" s="293">
        <f>(D31*0.7635+E31*0.7562+F31*0.75+G31*0.7248+H31*0.7021+I31*0.6285+1-J31*0.5884+1-K31*0.5276+L31*0.3663)/6.931</f>
        <v>0.56500914837242988</v>
      </c>
      <c r="N31" s="294">
        <f>M31/0.5062*100</f>
        <v>111.61776933473526</v>
      </c>
      <c r="O31" s="286">
        <f>(N31-100)/100*P31*0.3389</f>
        <v>25.355967457369054</v>
      </c>
      <c r="P31" s="300">
        <v>644</v>
      </c>
      <c r="Q31" s="300">
        <f>P31-X31-AA31-AB31-AC31</f>
        <v>603</v>
      </c>
      <c r="R31" s="300" t="s">
        <v>19</v>
      </c>
      <c r="S31" s="300">
        <v>188</v>
      </c>
      <c r="T31" s="300">
        <v>38</v>
      </c>
      <c r="U31" s="300">
        <v>4</v>
      </c>
      <c r="V31" s="300">
        <v>25</v>
      </c>
      <c r="W31" s="300">
        <v>96</v>
      </c>
      <c r="X31" s="300">
        <v>29</v>
      </c>
      <c r="Y31" s="300">
        <v>84</v>
      </c>
      <c r="Z31" s="300">
        <f>S31+T31+U31*2+V31*3</f>
        <v>309</v>
      </c>
      <c r="AA31" s="300">
        <v>3</v>
      </c>
      <c r="AB31" s="300">
        <v>0</v>
      </c>
      <c r="AC31" s="300">
        <v>9</v>
      </c>
      <c r="AD31" s="9"/>
      <c r="AE31" s="6">
        <v>1992</v>
      </c>
      <c r="AF31" s="85">
        <v>0.49821847687464238</v>
      </c>
      <c r="AG31" s="86">
        <v>0.50116080021520182</v>
      </c>
      <c r="AH31" s="78">
        <v>8.0599999999999995E-3</v>
      </c>
      <c r="AI31" s="9"/>
    </row>
    <row r="32" spans="1:35" x14ac:dyDescent="0.2">
      <c r="A32" s="9"/>
      <c r="B32" s="298">
        <v>2019</v>
      </c>
      <c r="C32" s="299" t="s">
        <v>517</v>
      </c>
      <c r="D32" s="292">
        <f>(S32-V32)/(Q32-V32-Y32+AC32)</f>
        <v>0.36597938144329895</v>
      </c>
      <c r="E32" s="292">
        <f>Z32/P32</f>
        <v>0.55555555555555558</v>
      </c>
      <c r="F32" s="292">
        <f>(T32+U32+V32)/S32</f>
        <v>0.54081632653061229</v>
      </c>
      <c r="G32" s="292">
        <f>(Z32+W32)/P32</f>
        <v>0.76693766937669372</v>
      </c>
      <c r="H32" s="292">
        <f>(Z32/Q32)+((S32+X32+AA32)/(Q32+X32+AA32+AC32))</f>
        <v>1.0668761959185087</v>
      </c>
      <c r="I32" s="292">
        <f>V32/Z32</f>
        <v>0.13170731707317074</v>
      </c>
      <c r="J32" s="292">
        <f>(AB32+AC32)/Z32</f>
        <v>9.7560975609756097E-3</v>
      </c>
      <c r="K32" s="292">
        <f>Y32/P32</f>
        <v>0.25474254742547425</v>
      </c>
      <c r="L32" s="292">
        <f>(X32+AA32)/P32</f>
        <v>0.14634146341463414</v>
      </c>
      <c r="M32" s="289">
        <f>(D32*0.7635+E32*0.7562+F32*0.75+G32*0.7248+H32*0.7021+I32*0.6285+1-J32*0.5884+1-K32*0.5276+L32*0.3663)/6.931</f>
        <v>0.63574074226841026</v>
      </c>
      <c r="N32" s="294">
        <f>M32/0.529*100</f>
        <v>120.1778340772042</v>
      </c>
      <c r="O32" s="286">
        <f>(N32-100)/100*P32*0.3389</f>
        <v>25.233208804741011</v>
      </c>
      <c r="P32" s="300">
        <v>369</v>
      </c>
      <c r="Q32" s="300">
        <f>P32-X32-AA32-AB32-AC32</f>
        <v>313</v>
      </c>
      <c r="R32" s="300" t="s">
        <v>19</v>
      </c>
      <c r="S32" s="300">
        <v>98</v>
      </c>
      <c r="T32" s="300">
        <v>26</v>
      </c>
      <c r="U32" s="300">
        <v>0</v>
      </c>
      <c r="V32" s="300">
        <v>27</v>
      </c>
      <c r="W32" s="300">
        <v>78</v>
      </c>
      <c r="X32" s="300">
        <v>52</v>
      </c>
      <c r="Y32" s="300">
        <v>94</v>
      </c>
      <c r="Z32" s="300">
        <f>S32+T32+U32*2+V32*3</f>
        <v>205</v>
      </c>
      <c r="AA32" s="300">
        <v>2</v>
      </c>
      <c r="AB32" s="300">
        <v>0</v>
      </c>
      <c r="AC32" s="300">
        <v>2</v>
      </c>
      <c r="AD32" s="9"/>
      <c r="AE32" s="6">
        <v>1991</v>
      </c>
      <c r="AF32" s="85">
        <v>0.50224107079860558</v>
      </c>
      <c r="AG32" s="86">
        <v>0.49864177252393077</v>
      </c>
      <c r="AH32" s="78">
        <v>7.77E-3</v>
      </c>
      <c r="AI32" s="9"/>
    </row>
    <row r="33" spans="1:35" x14ac:dyDescent="0.2">
      <c r="A33" s="9"/>
      <c r="B33" s="298">
        <v>1971</v>
      </c>
      <c r="C33" s="299" t="s">
        <v>586</v>
      </c>
      <c r="D33" s="292">
        <f>(S33-V33)/(Q33-V33-Y33+AC33)</f>
        <v>0.24742268041237114</v>
      </c>
      <c r="E33" s="292">
        <f>Z33/P33</f>
        <v>0.44363636363636366</v>
      </c>
      <c r="F33" s="292">
        <f>(T33+U33+V33)/S33</f>
        <v>0.37209302325581395</v>
      </c>
      <c r="G33" s="292">
        <f>(Z33+W33)/P33</f>
        <v>0.60181818181818181</v>
      </c>
      <c r="H33" s="292">
        <f>(Z33/Q33)+((S33+X33+AA33)/(Q33+X33+AA33+AC33))</f>
        <v>0.8145820376806292</v>
      </c>
      <c r="I33" s="292">
        <f>V33/Z33</f>
        <v>0.13524590163934427</v>
      </c>
      <c r="J33" s="292">
        <f>(AB33+AC33)/Z33</f>
        <v>1.6393442622950821E-2</v>
      </c>
      <c r="K33" s="292">
        <f>Y33/P33</f>
        <v>0.14545454545454545</v>
      </c>
      <c r="L33" s="292">
        <f>(X33+AA33)/P33</f>
        <v>8.9090909090909096E-2</v>
      </c>
      <c r="M33" s="293">
        <f>(D33*0.7635+E33*0.7562+F33*0.75+G33*0.7248+H33*0.7021+I33*0.6285+1-J33*0.5884+1-K33*0.5276+L33*0.3663)/6.931</f>
        <v>0.55443933030083348</v>
      </c>
      <c r="N33" s="294">
        <f>M33/0.4905*100</f>
        <v>113.03554134573568</v>
      </c>
      <c r="O33" s="286">
        <f>(N33-100)/100*P33*0.3389</f>
        <v>24.297597291384019</v>
      </c>
      <c r="P33" s="300">
        <v>550</v>
      </c>
      <c r="Q33" s="300">
        <f>P33-X33-AA33-AB33-AC33</f>
        <v>497</v>
      </c>
      <c r="R33" s="300" t="s">
        <v>19</v>
      </c>
      <c r="S33" s="300">
        <v>129</v>
      </c>
      <c r="T33" s="300">
        <v>14</v>
      </c>
      <c r="U33" s="300">
        <v>1</v>
      </c>
      <c r="V33" s="300">
        <v>33</v>
      </c>
      <c r="W33" s="300">
        <v>87</v>
      </c>
      <c r="X33" s="300">
        <v>42</v>
      </c>
      <c r="Y33" s="300">
        <v>80</v>
      </c>
      <c r="Z33" s="300">
        <f>S33+T33+U33*2+V33*3</f>
        <v>244</v>
      </c>
      <c r="AA33" s="300">
        <v>7</v>
      </c>
      <c r="AB33" s="300">
        <v>0</v>
      </c>
      <c r="AC33" s="300">
        <v>4</v>
      </c>
      <c r="AD33" s="9"/>
      <c r="AE33" s="6">
        <v>1990</v>
      </c>
      <c r="AF33" s="85">
        <v>0.50247381944164704</v>
      </c>
      <c r="AG33" s="86">
        <v>0.49849602073093108</v>
      </c>
      <c r="AH33" s="78">
        <v>7.8700000000000003E-3</v>
      </c>
      <c r="AI33" s="9"/>
    </row>
    <row r="34" spans="1:35" x14ac:dyDescent="0.2">
      <c r="A34" s="9"/>
      <c r="B34" s="301">
        <v>2011</v>
      </c>
      <c r="C34" s="302" t="s">
        <v>305</v>
      </c>
      <c r="D34" s="303">
        <f>(S34-V34)/(Q34-V34-Y34+AC34)</f>
        <v>0.31690140845070425</v>
      </c>
      <c r="E34" s="303">
        <f>Z34/P34</f>
        <v>0.20588235294117646</v>
      </c>
      <c r="F34" s="303">
        <f>(T34+U34+V34)/S34</f>
        <v>0.16666666666666666</v>
      </c>
      <c r="G34" s="303">
        <f>(Z34+R34)/P34</f>
        <v>0.26797385620915032</v>
      </c>
      <c r="H34" s="303">
        <f>(Z34/Q34)+((S34+X34+AA34)/(Q34+X34+AA34+AC34))</f>
        <v>0.49890710382513659</v>
      </c>
      <c r="I34" s="303">
        <f>V34/Z34</f>
        <v>4.7619047619047616E-2</v>
      </c>
      <c r="J34" s="303">
        <f>(AB34+AC34)/Z34</f>
        <v>4.7619047619047616E-2</v>
      </c>
      <c r="K34" s="303">
        <f>Y34/P34</f>
        <v>0.41503267973856212</v>
      </c>
      <c r="L34" s="303">
        <f>(X34+AA34)/P34</f>
        <v>0.10784313725490197</v>
      </c>
      <c r="M34" s="304">
        <f>(1-D34*0.7635+1-E34*0.7562+1-F34*0.75+1-G34*0.7248+1-H34*0.7021+1-I34*0.6285+J34*0.5884+K34*0.5276+1-L34*0.3663)/11.068</f>
        <v>0.55207862193908752</v>
      </c>
      <c r="N34" s="308">
        <f>M34/0.4939*100</f>
        <v>111.77943347622747</v>
      </c>
      <c r="O34" s="307">
        <f>(N34-100)/100*P34*0.6611</f>
        <v>23.829393421669977</v>
      </c>
      <c r="P34" s="300">
        <v>306</v>
      </c>
      <c r="Q34" s="300">
        <f>P34-X34-AA34-AB34-AC34</f>
        <v>270</v>
      </c>
      <c r="R34" s="300">
        <v>19</v>
      </c>
      <c r="S34" s="300">
        <v>48</v>
      </c>
      <c r="T34" s="300">
        <v>4</v>
      </c>
      <c r="U34" s="300">
        <v>1</v>
      </c>
      <c r="V34" s="300">
        <v>3</v>
      </c>
      <c r="W34" s="300" t="s">
        <v>19</v>
      </c>
      <c r="X34" s="300">
        <v>32</v>
      </c>
      <c r="Y34" s="300">
        <v>127</v>
      </c>
      <c r="Z34" s="300">
        <f>S34+T34+U34*2+V34*3</f>
        <v>63</v>
      </c>
      <c r="AA34" s="300">
        <v>1</v>
      </c>
      <c r="AB34" s="300">
        <v>1</v>
      </c>
      <c r="AC34" s="300">
        <v>2</v>
      </c>
      <c r="AD34" s="9"/>
      <c r="AE34" s="6">
        <v>1989</v>
      </c>
      <c r="AF34" s="85">
        <v>0.49701660988775132</v>
      </c>
      <c r="AG34" s="86">
        <v>0.50191343303830815</v>
      </c>
      <c r="AH34" s="78">
        <v>7.7499999999999999E-3</v>
      </c>
      <c r="AI34" s="9"/>
    </row>
    <row r="35" spans="1:35" x14ac:dyDescent="0.2">
      <c r="A35" s="9"/>
      <c r="B35" s="298">
        <v>1968</v>
      </c>
      <c r="C35" s="299" t="s">
        <v>115</v>
      </c>
      <c r="D35" s="292">
        <f>(S35-V35)/(Q35-V35-Y35+AC35)</f>
        <v>0.3036876355748373</v>
      </c>
      <c r="E35" s="292">
        <f>Z35/P35</f>
        <v>0.40197693574958815</v>
      </c>
      <c r="F35" s="292">
        <f>(T35+U35+V35)/S35</f>
        <v>0.36774193548387096</v>
      </c>
      <c r="G35" s="292">
        <f>(Z35+W35)/P35</f>
        <v>0.53706754530477763</v>
      </c>
      <c r="H35" s="292">
        <f>(Z35/Q35)+((S35+X35+AA35)/(Q35+X35+AA35+AC35))</f>
        <v>0.74336791512806988</v>
      </c>
      <c r="I35" s="292">
        <f>V35/Z35</f>
        <v>6.1475409836065573E-2</v>
      </c>
      <c r="J35" s="292">
        <f>(AB35+AC35)/Z35</f>
        <v>4.0983606557377046E-2</v>
      </c>
      <c r="K35" s="292">
        <f>Y35/P35</f>
        <v>0.15815485996705106</v>
      </c>
      <c r="L35" s="292">
        <f>(X35+AA35)/P35</f>
        <v>5.4365733113673806E-2</v>
      </c>
      <c r="M35" s="293">
        <f>(D35*0.7635+E35*0.7562+F35*0.75+G35*0.7248+H35*0.7021+I35*0.6285+1-J35*0.5884+1-K35*0.5276+L35*0.3663)/6.931</f>
        <v>0.53005717719535128</v>
      </c>
      <c r="N35" s="294">
        <f>M35/0.4768*100</f>
        <v>111.16970998224649</v>
      </c>
      <c r="O35" s="286">
        <f>(N35-100)/100*P35*0.3389</f>
        <v>22.977467307808841</v>
      </c>
      <c r="P35" s="300">
        <v>607</v>
      </c>
      <c r="Q35" s="300">
        <f>P35-X35-AA35-AB35-AC35</f>
        <v>564</v>
      </c>
      <c r="R35" s="300" t="s">
        <v>19</v>
      </c>
      <c r="S35" s="300">
        <v>155</v>
      </c>
      <c r="T35" s="300">
        <v>40</v>
      </c>
      <c r="U35" s="300">
        <v>2</v>
      </c>
      <c r="V35" s="300">
        <v>15</v>
      </c>
      <c r="W35" s="300">
        <v>82</v>
      </c>
      <c r="X35" s="300">
        <v>31</v>
      </c>
      <c r="Y35" s="300">
        <v>96</v>
      </c>
      <c r="Z35" s="300">
        <f>S35+T35+U35*2+V35*3</f>
        <v>244</v>
      </c>
      <c r="AA35" s="300">
        <v>2</v>
      </c>
      <c r="AB35" s="300">
        <v>2</v>
      </c>
      <c r="AC35" s="300">
        <v>8</v>
      </c>
      <c r="AD35" s="9"/>
      <c r="AE35" s="6">
        <v>1988</v>
      </c>
      <c r="AF35" s="85">
        <v>0.49822737411476586</v>
      </c>
      <c r="AG35" s="86">
        <v>0.50115522858787109</v>
      </c>
      <c r="AH35" s="78">
        <v>7.9399999999999991E-3</v>
      </c>
      <c r="AI35" s="9"/>
    </row>
    <row r="36" spans="1:35" x14ac:dyDescent="0.2">
      <c r="A36" s="9"/>
      <c r="B36" s="298">
        <v>1983</v>
      </c>
      <c r="C36" s="299" t="s">
        <v>567</v>
      </c>
      <c r="D36" s="292">
        <f>(S36-V36)/(Q36-V36-Y36+AC36)</f>
        <v>0.28698224852071008</v>
      </c>
      <c r="E36" s="292">
        <f>Z36/P36</f>
        <v>0.45964912280701753</v>
      </c>
      <c r="F36" s="292">
        <f>(T36+U36+V36)/S36</f>
        <v>0.43181818181818182</v>
      </c>
      <c r="G36" s="292">
        <f>(Z36+W36)/P36</f>
        <v>0.63508771929824559</v>
      </c>
      <c r="H36" s="292">
        <f>(Z36/Q36)+((S36+X36+AA36)/(Q36+X36+AA36+AC36))</f>
        <v>0.81788124156545206</v>
      </c>
      <c r="I36" s="292">
        <f>V36/Z36</f>
        <v>0.13358778625954199</v>
      </c>
      <c r="J36" s="292">
        <f>(AB36+AC36)/Z36</f>
        <v>1.1450381679389313E-2</v>
      </c>
      <c r="K36" s="292">
        <f>Y36/P36</f>
        <v>0.26315789473684209</v>
      </c>
      <c r="L36" s="292">
        <f>(X36+AA36)/P36</f>
        <v>8.24561403508772E-2</v>
      </c>
      <c r="M36" s="293">
        <f>(D36*0.7635+E36*0.7562+F36*0.75+G36*0.7248+H36*0.7021+I36*0.6285+1-J36*0.5884+1-K36*0.5276+L36*0.3663)/6.931</f>
        <v>0.56177915834045244</v>
      </c>
      <c r="N36" s="294">
        <f>M36/0.5044*100</f>
        <v>111.37572528557742</v>
      </c>
      <c r="O36" s="286">
        <f>(N36-100)/100*P36*0.3389</f>
        <v>21.97482980590846</v>
      </c>
      <c r="P36" s="300">
        <v>570</v>
      </c>
      <c r="Q36" s="300">
        <f>P36-X36-AA36-AB36-AC36</f>
        <v>520</v>
      </c>
      <c r="R36" s="300" t="s">
        <v>19</v>
      </c>
      <c r="S36" s="300">
        <v>132</v>
      </c>
      <c r="T36" s="300">
        <v>19</v>
      </c>
      <c r="U36" s="300">
        <v>3</v>
      </c>
      <c r="V36" s="300">
        <v>35</v>
      </c>
      <c r="W36" s="300">
        <v>100</v>
      </c>
      <c r="X36" s="300">
        <v>39</v>
      </c>
      <c r="Y36" s="300">
        <v>150</v>
      </c>
      <c r="Z36" s="300">
        <f>S36+T36+U36*2+V36*3</f>
        <v>262</v>
      </c>
      <c r="AA36" s="300">
        <v>8</v>
      </c>
      <c r="AB36" s="300">
        <v>0</v>
      </c>
      <c r="AC36" s="300">
        <v>3</v>
      </c>
      <c r="AD36" s="9"/>
      <c r="AE36" s="6">
        <v>1987</v>
      </c>
      <c r="AF36" s="85">
        <v>0.51807313868902594</v>
      </c>
      <c r="AG36" s="86">
        <v>0.48872741920368279</v>
      </c>
      <c r="AH36" s="78">
        <v>6.8599999999999998E-3</v>
      </c>
      <c r="AI36" s="9"/>
    </row>
    <row r="37" spans="1:35" x14ac:dyDescent="0.2">
      <c r="A37" s="9"/>
      <c r="B37" s="301">
        <v>1954</v>
      </c>
      <c r="C37" s="302" t="s">
        <v>607</v>
      </c>
      <c r="D37" s="303">
        <f>(S37-V37)/(Q37-V37-Y37+AC37)</f>
        <v>0.27213114754098361</v>
      </c>
      <c r="E37" s="303">
        <f>Z37/P37</f>
        <v>0.29040097205346294</v>
      </c>
      <c r="F37" s="303">
        <f>(T37+U37+V37)/S37</f>
        <v>0.21714285714285714</v>
      </c>
      <c r="G37" s="303">
        <f>(Z37+R37)/P37</f>
        <v>0.38517618469015796</v>
      </c>
      <c r="H37" s="303">
        <f>(Z37/Q37)+((S37+X37+AA37)/(Q37+X37+AA37+AC37))</f>
        <v>0.65649826918463172</v>
      </c>
      <c r="I37" s="303">
        <f>V37/Z37</f>
        <v>3.7656903765690378E-2</v>
      </c>
      <c r="J37" s="303">
        <f>(AB37+AC37)/Z37</f>
        <v>7.9497907949790794E-2</v>
      </c>
      <c r="K37" s="303">
        <f>Y37/P37</f>
        <v>0.13122721749696234</v>
      </c>
      <c r="L37" s="303">
        <f>(X37+AA37)/P37</f>
        <v>0.10692588092345079</v>
      </c>
      <c r="M37" s="304">
        <f>(1-D37*0.7635+1-E37*0.7562+1-F37*0.75+1-G37*0.7248+1-H37*0.7021+1-I37*0.6285+J37*0.5884+K37*0.5276+1-L37*0.3663)/11.068</f>
        <v>0.51706217132820642</v>
      </c>
      <c r="N37" s="308">
        <f>M37/0.4976*100</f>
        <v>103.91120806435016</v>
      </c>
      <c r="O37" s="307">
        <f>(N37-100)/100*P37*0.6611</f>
        <v>21.28030813054378</v>
      </c>
      <c r="P37" s="300">
        <v>823</v>
      </c>
      <c r="Q37" s="300">
        <f>P37-X37-AA37-AB37-AC37</f>
        <v>716</v>
      </c>
      <c r="R37" s="300">
        <v>78</v>
      </c>
      <c r="S37" s="300">
        <v>175</v>
      </c>
      <c r="T37" s="300">
        <v>21</v>
      </c>
      <c r="U37" s="300">
        <v>8</v>
      </c>
      <c r="V37" s="300">
        <v>9</v>
      </c>
      <c r="W37" s="300" t="s">
        <v>19</v>
      </c>
      <c r="X37" s="300">
        <v>85</v>
      </c>
      <c r="Y37" s="300">
        <v>108</v>
      </c>
      <c r="Z37" s="300">
        <f>S37+T37+U37*2+V37*3</f>
        <v>239</v>
      </c>
      <c r="AA37" s="300">
        <v>3</v>
      </c>
      <c r="AB37" s="300">
        <v>8</v>
      </c>
      <c r="AC37" s="300">
        <v>11</v>
      </c>
      <c r="AD37" s="9"/>
      <c r="AE37" s="6">
        <v>1986</v>
      </c>
      <c r="AF37" s="85">
        <v>0.50759881957154451</v>
      </c>
      <c r="AG37" s="86">
        <v>0.49528664452020466</v>
      </c>
      <c r="AH37" s="78">
        <v>7.3000000000000001E-3</v>
      </c>
      <c r="AI37" s="9"/>
    </row>
    <row r="38" spans="1:35" x14ac:dyDescent="0.2">
      <c r="A38" s="9"/>
      <c r="B38" s="301">
        <v>1999</v>
      </c>
      <c r="C38" s="302" t="s">
        <v>542</v>
      </c>
      <c r="D38" s="303">
        <f>(S38-V38)/(Q38-V38-Y38+AC38)</f>
        <v>0.22772277227722773</v>
      </c>
      <c r="E38" s="303">
        <f>Z38/P38</f>
        <v>0.25136612021857924</v>
      </c>
      <c r="F38" s="303">
        <f>(T38+U38+V38)/S38</f>
        <v>0.3888888888888889</v>
      </c>
      <c r="G38" s="303">
        <f>(Z38+R38)/P38</f>
        <v>0.33060109289617484</v>
      </c>
      <c r="H38" s="303">
        <f>(Z38/Q38)+((S38+X38+AA38)/(Q38+X38+AA38+AC38))</f>
        <v>0.56353163610781343</v>
      </c>
      <c r="I38" s="303">
        <f>V38/Z38</f>
        <v>8.6956521739130432E-2</v>
      </c>
      <c r="J38" s="303">
        <f>(AB38+AC38)/Z38</f>
        <v>7.6086956521739135E-2</v>
      </c>
      <c r="K38" s="303">
        <f>Y38/P38</f>
        <v>0.29234972677595628</v>
      </c>
      <c r="L38" s="303">
        <f>(X38+AA38)/P38</f>
        <v>0.12021857923497267</v>
      </c>
      <c r="M38" s="304">
        <f>(1-D38*0.7635+1-E38*0.7562+1-F38*0.75+1-G38*0.7248+1-H38*0.7021+1-I38*0.6285+J38*0.5884+K38*0.5276+1-L38*0.3663)/11.068</f>
        <v>0.52488559309048688</v>
      </c>
      <c r="N38" s="308">
        <f>M38/0.4826*100</f>
        <v>108.76203752393015</v>
      </c>
      <c r="O38" s="307">
        <f>(N38-100)/100*P38*0.6611</f>
        <v>21.200853805877006</v>
      </c>
      <c r="P38" s="300">
        <v>366</v>
      </c>
      <c r="Q38" s="300">
        <f>P38-X38-AA38-AB38-AC38</f>
        <v>315</v>
      </c>
      <c r="R38" s="300">
        <v>29</v>
      </c>
      <c r="S38" s="300">
        <v>54</v>
      </c>
      <c r="T38" s="300">
        <v>12</v>
      </c>
      <c r="U38" s="300">
        <v>1</v>
      </c>
      <c r="V38" s="300">
        <v>8</v>
      </c>
      <c r="W38" s="300" t="s">
        <v>19</v>
      </c>
      <c r="X38" s="300">
        <v>43</v>
      </c>
      <c r="Y38" s="300">
        <v>107</v>
      </c>
      <c r="Z38" s="300">
        <f>S38+T38+U38*2+V38*3</f>
        <v>92</v>
      </c>
      <c r="AA38" s="300">
        <v>1</v>
      </c>
      <c r="AB38" s="300">
        <v>5</v>
      </c>
      <c r="AC38" s="300">
        <v>2</v>
      </c>
      <c r="AD38" s="9"/>
      <c r="AE38" s="6">
        <v>1985</v>
      </c>
      <c r="AF38" s="85">
        <v>0.50577926394598682</v>
      </c>
      <c r="AG38" s="86">
        <v>0.49642608615742362</v>
      </c>
      <c r="AH38" s="78">
        <v>7.1399999999999996E-3</v>
      </c>
      <c r="AI38" s="9"/>
    </row>
    <row r="39" spans="1:35" x14ac:dyDescent="0.2">
      <c r="A39" s="9"/>
      <c r="B39" s="298">
        <v>1994</v>
      </c>
      <c r="C39" s="299" t="s">
        <v>550</v>
      </c>
      <c r="D39" s="292">
        <f>(S39-V39)/(Q39-V39-Y39+AC39)</f>
        <v>0.27586206896551724</v>
      </c>
      <c r="E39" s="292">
        <f>Z39/P39</f>
        <v>0.49866666666666665</v>
      </c>
      <c r="F39" s="291">
        <f>(T39+U39+V39)/S39</f>
        <v>0.56818181818181823</v>
      </c>
      <c r="G39" s="292">
        <f>(Z39+W39)/P39</f>
        <v>0.67200000000000004</v>
      </c>
      <c r="H39" s="292">
        <f>(Z39/Q39)+((S39+X39+AA39)/(Q39+X39+AA39+AC39))</f>
        <v>0.9841107561235356</v>
      </c>
      <c r="I39" s="292">
        <f>V39/Z39</f>
        <v>0.12834224598930483</v>
      </c>
      <c r="J39" s="292">
        <f>(AB39+AC39)/Z39</f>
        <v>2.6737967914438502E-2</v>
      </c>
      <c r="K39" s="292">
        <f>Y39/P39</f>
        <v>0.16533333333333333</v>
      </c>
      <c r="L39" s="292">
        <f>(X39+AA39)/P39</f>
        <v>0.152</v>
      </c>
      <c r="M39" s="293">
        <f>(D39*0.7635+E39*0.7562+F39*0.75+G39*0.7248+H39*0.7021+I39*0.6285+1-J39*0.5884+1-K39*0.5276+L39*0.3663)/6.931</f>
        <v>0.60961430718741305</v>
      </c>
      <c r="N39" s="294">
        <f>M39/0.5225*100</f>
        <v>116.67259467701685</v>
      </c>
      <c r="O39" s="286">
        <f>(N39-100)/100*P39*0.3389</f>
        <v>21.188783760153786</v>
      </c>
      <c r="P39" s="300">
        <v>375</v>
      </c>
      <c r="Q39" s="300">
        <f>P39-X39-AA39-AB39-AC39</f>
        <v>313</v>
      </c>
      <c r="R39" s="300" t="s">
        <v>19</v>
      </c>
      <c r="S39" s="300">
        <v>88</v>
      </c>
      <c r="T39" s="300">
        <v>25</v>
      </c>
      <c r="U39" s="300">
        <v>1</v>
      </c>
      <c r="V39" s="300">
        <v>24</v>
      </c>
      <c r="W39" s="300">
        <v>65</v>
      </c>
      <c r="X39" s="300">
        <v>56</v>
      </c>
      <c r="Y39" s="300">
        <v>62</v>
      </c>
      <c r="Z39" s="300">
        <f>S39+T39+U39*2+V39*3</f>
        <v>187</v>
      </c>
      <c r="AA39" s="300">
        <v>1</v>
      </c>
      <c r="AB39" s="300">
        <v>0</v>
      </c>
      <c r="AC39" s="300">
        <v>5</v>
      </c>
      <c r="AD39" s="9"/>
      <c r="AE39" s="6">
        <v>1984</v>
      </c>
      <c r="AF39" s="85">
        <v>0.5016710258720487</v>
      </c>
      <c r="AG39" s="86">
        <v>0.49899874590538768</v>
      </c>
      <c r="AH39" s="78">
        <v>8.0099999999999998E-3</v>
      </c>
      <c r="AI39" s="9"/>
    </row>
    <row r="40" spans="1:35" x14ac:dyDescent="0.2">
      <c r="A40" s="9"/>
      <c r="B40" s="298">
        <v>1965</v>
      </c>
      <c r="C40" s="299" t="s">
        <v>592</v>
      </c>
      <c r="D40" s="292">
        <f>(S40-V40)/(Q40-V40-Y40+AC40)</f>
        <v>0.26630434782608697</v>
      </c>
      <c r="E40" s="292">
        <f>Z40/P40</f>
        <v>0.38680926916221031</v>
      </c>
      <c r="F40" s="292">
        <f>(T40+U40+V40)/S40</f>
        <v>0.40833333333333333</v>
      </c>
      <c r="G40" s="292">
        <f>(Z40+W40)/P40</f>
        <v>0.51158645276292336</v>
      </c>
      <c r="H40" s="292">
        <f>(Z40/Q40)+((S40+X40+AA40)/(Q40+X40+AA40+AC40))</f>
        <v>0.85056339568974948</v>
      </c>
      <c r="I40" s="292">
        <f>V40/Z40</f>
        <v>0.10138248847926268</v>
      </c>
      <c r="J40" s="292">
        <f>(AB40+AC40)/Z40</f>
        <v>3.6866359447004608E-2</v>
      </c>
      <c r="K40" s="292">
        <f>Y40/P40</f>
        <v>0.13012477718360071</v>
      </c>
      <c r="L40" s="292">
        <f>(X40+AA40)/P40</f>
        <v>0.16221033868092691</v>
      </c>
      <c r="M40" s="293">
        <f>(D40*0.7635+E40*0.7562+F40*0.75+G40*0.7248+H40*0.7021+I40*0.6285+1-J40*0.5884+1-K40*0.5276+L40*0.3663)/6.931</f>
        <v>0.54867226990468565</v>
      </c>
      <c r="N40" s="294">
        <f>M40/0.4939*100</f>
        <v>111.08974891773346</v>
      </c>
      <c r="O40" s="286">
        <f>(N40-100)/100*P40*0.3389</f>
        <v>21.084152245113465</v>
      </c>
      <c r="P40" s="300">
        <v>561</v>
      </c>
      <c r="Q40" s="300">
        <f>P40-X40-AA40-AB40-AC40</f>
        <v>462</v>
      </c>
      <c r="R40" s="300" t="s">
        <v>19</v>
      </c>
      <c r="S40" s="300">
        <v>120</v>
      </c>
      <c r="T40" s="300">
        <v>23</v>
      </c>
      <c r="U40" s="300">
        <v>4</v>
      </c>
      <c r="V40" s="300">
        <v>22</v>
      </c>
      <c r="W40" s="300">
        <v>70</v>
      </c>
      <c r="X40" s="300">
        <v>88</v>
      </c>
      <c r="Y40" s="300">
        <v>73</v>
      </c>
      <c r="Z40" s="300">
        <f>S40+T40+U40*2+V40*3</f>
        <v>217</v>
      </c>
      <c r="AA40" s="300">
        <v>3</v>
      </c>
      <c r="AB40" s="300">
        <v>7</v>
      </c>
      <c r="AC40" s="300">
        <v>1</v>
      </c>
      <c r="AD40" s="9"/>
      <c r="AE40" s="6">
        <v>1983</v>
      </c>
      <c r="AF40" s="85">
        <v>0.50442766904064618</v>
      </c>
      <c r="AG40" s="86">
        <v>0.49727248155757864</v>
      </c>
      <c r="AH40" s="78">
        <v>7.8200000000000006E-3</v>
      </c>
      <c r="AI40" s="9"/>
    </row>
    <row r="41" spans="1:35" x14ac:dyDescent="0.2">
      <c r="A41" s="9"/>
      <c r="B41" s="298">
        <v>2018</v>
      </c>
      <c r="C41" s="299" t="s">
        <v>520</v>
      </c>
      <c r="D41" s="292">
        <f>(S41-V41)/(Q41-V41-Y41+AC41)</f>
        <v>0.3519163763066202</v>
      </c>
      <c r="E41" s="292">
        <f>Z41/P41</f>
        <v>0.49075975359342916</v>
      </c>
      <c r="F41" s="292">
        <f>(T41+U41+V41)/S41</f>
        <v>0.44094488188976377</v>
      </c>
      <c r="G41" s="292">
        <f>(Z41+W41)/P41</f>
        <v>0.62217659137576997</v>
      </c>
      <c r="H41" s="292">
        <f>(Z41/Q41)+((S41+X41+AA41)/(Q41+X41+AA41+AC41))</f>
        <v>0.91746612858098076</v>
      </c>
      <c r="I41" s="292">
        <f>V41/Z41</f>
        <v>0.10878661087866109</v>
      </c>
      <c r="J41" s="292">
        <f>(AB41+AC41)/Z41</f>
        <v>1.2552301255230125E-2</v>
      </c>
      <c r="K41" s="292">
        <f>Y41/P41</f>
        <v>0.25256673511293637</v>
      </c>
      <c r="L41" s="292">
        <f>(X41+AA41)/P41</f>
        <v>0.10472279260780287</v>
      </c>
      <c r="M41" s="293">
        <f>(D41*0.7635+E41*0.7562+F41*0.75+G41*0.7248+H41*0.7021+I41*0.6285+1-J41*0.5884+1-K41*0.5276+L41*0.3663)/6.931</f>
        <v>0.58169214587591367</v>
      </c>
      <c r="N41" s="294">
        <f>M41/0.5164*100</f>
        <v>112.64371531291899</v>
      </c>
      <c r="O41" s="286">
        <f>(N41-100)/100*P41*0.3389</f>
        <v>20.86773143219995</v>
      </c>
      <c r="P41" s="300">
        <v>487</v>
      </c>
      <c r="Q41" s="300">
        <f>P41-X41-AA41-AB41-AC41</f>
        <v>433</v>
      </c>
      <c r="R41" s="300" t="s">
        <v>19</v>
      </c>
      <c r="S41" s="300">
        <v>127</v>
      </c>
      <c r="T41" s="300">
        <v>26</v>
      </c>
      <c r="U41" s="300">
        <v>4</v>
      </c>
      <c r="V41" s="300">
        <v>26</v>
      </c>
      <c r="W41" s="300">
        <v>64</v>
      </c>
      <c r="X41" s="300">
        <v>45</v>
      </c>
      <c r="Y41" s="300">
        <v>123</v>
      </c>
      <c r="Z41" s="300">
        <f>S41+T41+U41*2+V41*3</f>
        <v>239</v>
      </c>
      <c r="AA41" s="300">
        <v>6</v>
      </c>
      <c r="AB41" s="300">
        <v>0</v>
      </c>
      <c r="AC41" s="300">
        <v>3</v>
      </c>
      <c r="AD41" s="9"/>
      <c r="AE41" s="6">
        <v>1982</v>
      </c>
      <c r="AF41" s="85">
        <v>0.50355533470492853</v>
      </c>
      <c r="AG41" s="86">
        <v>0.49781875453199681</v>
      </c>
      <c r="AH41" s="78">
        <v>7.5799999999999999E-3</v>
      </c>
      <c r="AI41" s="9"/>
    </row>
    <row r="42" spans="1:35" x14ac:dyDescent="0.2">
      <c r="A42" s="9"/>
      <c r="B42" s="301">
        <v>2005</v>
      </c>
      <c r="C42" s="302" t="s">
        <v>533</v>
      </c>
      <c r="D42" s="303">
        <f>(S42-V42)/(Q42-V42-Y42+AC42)</f>
        <v>0.25</v>
      </c>
      <c r="E42" s="303">
        <f>Z42/P42</f>
        <v>0.23856209150326799</v>
      </c>
      <c r="F42" s="303">
        <f>(T42+U42+V42)/S42</f>
        <v>0.26415094339622641</v>
      </c>
      <c r="G42" s="303">
        <f>(Z42+R42)/P42</f>
        <v>0.29411764705882354</v>
      </c>
      <c r="H42" s="303">
        <f>(Z42/Q42)+((S42+X42+AA42)/(Q42+X42+AA42+AC42))</f>
        <v>0.53472600007253468</v>
      </c>
      <c r="I42" s="303">
        <f>V42/Z42</f>
        <v>4.1095890410958902E-2</v>
      </c>
      <c r="J42" s="303">
        <f>(AB42+AC42)/Z42</f>
        <v>6.8493150684931503E-2</v>
      </c>
      <c r="K42" s="303">
        <f>Y42/P42</f>
        <v>0.23529411764705882</v>
      </c>
      <c r="L42" s="303">
        <f>(X42+AA42)/P42</f>
        <v>9.1503267973856203E-2</v>
      </c>
      <c r="M42" s="304">
        <f>(1-D42*0.7635+1-E42*0.7562+1-F42*0.75+1-G42*0.7248+1-H42*0.7021+1-I42*0.6285+J42*0.5884+K42*0.5276+1-L42*0.3663)/11.068</f>
        <v>0.53732378711333462</v>
      </c>
      <c r="N42" s="308">
        <f>M42/0.4873*100</f>
        <v>110.26550115192583</v>
      </c>
      <c r="O42" s="307">
        <f>(N42-100)/100*P42*0.6611</f>
        <v>20.766759803306794</v>
      </c>
      <c r="P42" s="300">
        <v>306</v>
      </c>
      <c r="Q42" s="300">
        <f>P42-X42-AA42-AB42-AC42</f>
        <v>273</v>
      </c>
      <c r="R42" s="300">
        <v>17</v>
      </c>
      <c r="S42" s="300">
        <v>53</v>
      </c>
      <c r="T42" s="300">
        <v>11</v>
      </c>
      <c r="U42" s="300">
        <v>0</v>
      </c>
      <c r="V42" s="300">
        <v>3</v>
      </c>
      <c r="W42" s="300" t="s">
        <v>19</v>
      </c>
      <c r="X42" s="300">
        <v>26</v>
      </c>
      <c r="Y42" s="300">
        <v>72</v>
      </c>
      <c r="Z42" s="300">
        <f>S42+T42+U42*2+V42*3</f>
        <v>73</v>
      </c>
      <c r="AA42" s="300">
        <v>2</v>
      </c>
      <c r="AB42" s="300">
        <v>3</v>
      </c>
      <c r="AC42" s="300">
        <v>2</v>
      </c>
      <c r="AD42" s="9"/>
      <c r="AE42" s="6">
        <v>1981</v>
      </c>
      <c r="AF42" s="85">
        <v>0.49315559782977575</v>
      </c>
      <c r="AG42" s="86">
        <v>0.50433127497667363</v>
      </c>
      <c r="AH42" s="78">
        <v>7.8300000000000002E-3</v>
      </c>
      <c r="AI42" s="9"/>
    </row>
    <row r="43" spans="1:35" x14ac:dyDescent="0.2">
      <c r="A43" s="9"/>
      <c r="B43" s="298">
        <v>1982</v>
      </c>
      <c r="C43" s="299" t="s">
        <v>57</v>
      </c>
      <c r="D43" s="292">
        <f>(S43-V43)/(Q43-V43-Y43+AC43)</f>
        <v>0.27027027027027029</v>
      </c>
      <c r="E43" s="292">
        <f>Z43/P43</f>
        <v>0.43358778625954197</v>
      </c>
      <c r="F43" s="292">
        <f>(T43+U43+V43)/S43</f>
        <v>0.41139240506329117</v>
      </c>
      <c r="G43" s="292">
        <f>(Z43+W43)/P43</f>
        <v>0.57557251908396945</v>
      </c>
      <c r="H43" s="292">
        <f>(Z43/Q43)+((S43+X43+AA43)/(Q43+X43+AA43+AC43))</f>
        <v>0.79191485656629812</v>
      </c>
      <c r="I43" s="292">
        <f>V43/Z43</f>
        <v>9.8591549295774641E-2</v>
      </c>
      <c r="J43" s="292">
        <f>(AB43+AC43)/Z43</f>
        <v>2.8169014084507043E-2</v>
      </c>
      <c r="K43" s="292">
        <f>Y43/P43</f>
        <v>0.14503816793893129</v>
      </c>
      <c r="L43" s="292">
        <f>(X43+AA43)/P43</f>
        <v>7.4809160305343514E-2</v>
      </c>
      <c r="M43" s="293">
        <f>(D43*0.7635+E43*0.7562+F43*0.75+G43*0.7248+H43*0.7021+I43*0.6285+1-J43*0.5884+1-K43*0.5276+L43*0.3663)/6.931</f>
        <v>0.5500250642917156</v>
      </c>
      <c r="N43" s="294">
        <f>M43/0.5036*100</f>
        <v>109.21863865999117</v>
      </c>
      <c r="O43" s="286">
        <f>(N43-100)/100*P43*0.3389</f>
        <v>20.463488004255101</v>
      </c>
      <c r="P43" s="300">
        <v>655</v>
      </c>
      <c r="Q43" s="300">
        <f>P43-X43-AA43-AB43-AC43</f>
        <v>598</v>
      </c>
      <c r="R43" s="300" t="s">
        <v>19</v>
      </c>
      <c r="S43" s="300">
        <v>158</v>
      </c>
      <c r="T43" s="300">
        <v>32</v>
      </c>
      <c r="U43" s="300">
        <v>5</v>
      </c>
      <c r="V43" s="300">
        <v>28</v>
      </c>
      <c r="W43" s="300">
        <v>93</v>
      </c>
      <c r="X43" s="300">
        <v>46</v>
      </c>
      <c r="Y43" s="300">
        <v>95</v>
      </c>
      <c r="Z43" s="300">
        <f>S43+T43+U43*2+V43*3</f>
        <v>284</v>
      </c>
      <c r="AA43" s="300">
        <v>3</v>
      </c>
      <c r="AB43" s="300">
        <v>2</v>
      </c>
      <c r="AC43" s="300">
        <v>6</v>
      </c>
      <c r="AD43" s="9"/>
      <c r="AE43" s="6">
        <v>1980</v>
      </c>
      <c r="AF43" s="85">
        <v>0.50257550183499744</v>
      </c>
      <c r="AG43" s="86">
        <v>0.49843234520976093</v>
      </c>
      <c r="AH43" s="78">
        <v>8.0400000000000003E-3</v>
      </c>
      <c r="AI43" s="9"/>
    </row>
    <row r="44" spans="1:35" x14ac:dyDescent="0.2">
      <c r="A44" s="9"/>
      <c r="B44" s="301">
        <v>1952</v>
      </c>
      <c r="C44" s="302" t="s">
        <v>612</v>
      </c>
      <c r="D44" s="303">
        <f>(S44-V44)/(Q44-V44-Y44+AC44)</f>
        <v>0.22518159806295399</v>
      </c>
      <c r="E44" s="303">
        <f>Z44/P44</f>
        <v>0.26428571428571429</v>
      </c>
      <c r="F44" s="303">
        <f>(T44+U44+V44)/S44</f>
        <v>0.26470588235294118</v>
      </c>
      <c r="G44" s="303">
        <f>(Z44+R44)/P44</f>
        <v>0.33571428571428569</v>
      </c>
      <c r="H44" s="303">
        <f>(Z44/Q44)+((S44+X44+AA44)/(Q44+X44+AA44+AC44))</f>
        <v>0.55711579909868725</v>
      </c>
      <c r="I44" s="303">
        <f>V44/Z44</f>
        <v>6.0810810810810814E-2</v>
      </c>
      <c r="J44" s="303">
        <f>(AB44+AC44)/Z44</f>
        <v>0.10810810810810811</v>
      </c>
      <c r="K44" s="303">
        <f>Y44/P44</f>
        <v>0.15178571428571427</v>
      </c>
      <c r="L44" s="303">
        <f>(X44+AA44)/P44</f>
        <v>7.4999999999999997E-2</v>
      </c>
      <c r="M44" s="304">
        <f>(1-D44*0.7635+1-E44*0.7562+1-F44*0.75+1-G44*0.7248+1-H44*0.7021+1-I44*0.6285+J44*0.5884+K44*0.5276+1-L44*0.3663)/11.068</f>
        <v>0.53064833061183847</v>
      </c>
      <c r="N44" s="308">
        <f>M44/0.5035*100</f>
        <v>105.39192266372166</v>
      </c>
      <c r="O44" s="307">
        <f>(N44-100)/100*P44*0.6611</f>
        <v>19.961760408723773</v>
      </c>
      <c r="P44" s="300">
        <v>560</v>
      </c>
      <c r="Q44" s="311">
        <f>P44-X44-AA44-AB44-AC44</f>
        <v>502</v>
      </c>
      <c r="R44" s="300">
        <v>40</v>
      </c>
      <c r="S44" s="300">
        <v>102</v>
      </c>
      <c r="T44" s="300">
        <v>17</v>
      </c>
      <c r="U44" s="300">
        <v>1</v>
      </c>
      <c r="V44" s="300">
        <v>9</v>
      </c>
      <c r="W44" s="300" t="s">
        <v>19</v>
      </c>
      <c r="X44" s="300">
        <v>41</v>
      </c>
      <c r="Y44" s="300">
        <v>85</v>
      </c>
      <c r="Z44" s="300">
        <f>S44+T44+U44*2+V44*3</f>
        <v>148</v>
      </c>
      <c r="AA44" s="300">
        <v>1</v>
      </c>
      <c r="AB44" s="300">
        <v>11</v>
      </c>
      <c r="AC44" s="311">
        <v>5</v>
      </c>
      <c r="AD44" s="9"/>
      <c r="AE44" s="6">
        <v>1979</v>
      </c>
      <c r="AF44" s="85">
        <v>0.50784172760330148</v>
      </c>
      <c r="AG44" s="86">
        <v>0.49513453071752056</v>
      </c>
      <c r="AH44" s="78">
        <v>8.1899999999999994E-3</v>
      </c>
      <c r="AI44" s="9"/>
    </row>
    <row r="45" spans="1:35" x14ac:dyDescent="0.2">
      <c r="A45" s="9"/>
      <c r="B45" s="298">
        <v>2016</v>
      </c>
      <c r="C45" s="299" t="s">
        <v>523</v>
      </c>
      <c r="D45" s="292">
        <f>(S45-V45)/(Q45-V45-Y45+AC45)</f>
        <v>0.35531914893617023</v>
      </c>
      <c r="E45" s="292">
        <f>Z45/P45</f>
        <v>0.46724890829694321</v>
      </c>
      <c r="F45" s="292">
        <f>(T45+U45+V45)/S45</f>
        <v>0.36787564766839376</v>
      </c>
      <c r="G45" s="292">
        <f>(Z45+W45)/P45</f>
        <v>0.57205240174672489</v>
      </c>
      <c r="H45" s="292">
        <f>(Z45/Q45)+((S45+X45+AA45)/(Q45+X45+AA45+AC45))</f>
        <v>0.87731834548658272</v>
      </c>
      <c r="I45" s="292">
        <f>V45/Z45</f>
        <v>8.0996884735202487E-2</v>
      </c>
      <c r="J45" s="292">
        <f>(AB45+AC45)/Z45</f>
        <v>6.2305295950155761E-3</v>
      </c>
      <c r="K45" s="292">
        <f>Y45/P45</f>
        <v>0.19359534206695778</v>
      </c>
      <c r="L45" s="292">
        <f>(X45+AA45)/P45</f>
        <v>8.442503639010189E-2</v>
      </c>
      <c r="M45" s="293">
        <f>(D45*0.7635+E45*0.7562+F45*0.75+G45*0.7248+H45*0.7021+I45*0.6285+1-J45*0.5884+1-K45*0.5276+L45*0.3663)/6.931</f>
        <v>0.56371949334409177</v>
      </c>
      <c r="N45" s="294">
        <f>M45/0.5193*100</f>
        <v>108.5537248881363</v>
      </c>
      <c r="O45" s="286">
        <f>(N45-100)/100*P45*0.3389</f>
        <v>19.915150094729125</v>
      </c>
      <c r="P45" s="300">
        <v>687</v>
      </c>
      <c r="Q45" s="300">
        <f>P45-X45-AA45-AB45-AC45</f>
        <v>627</v>
      </c>
      <c r="R45" s="300" t="s">
        <v>19</v>
      </c>
      <c r="S45" s="300">
        <v>193</v>
      </c>
      <c r="T45" s="300">
        <v>40</v>
      </c>
      <c r="U45" s="300">
        <v>5</v>
      </c>
      <c r="V45" s="300">
        <v>26</v>
      </c>
      <c r="W45" s="300">
        <v>72</v>
      </c>
      <c r="X45" s="300">
        <v>54</v>
      </c>
      <c r="Y45" s="300">
        <v>133</v>
      </c>
      <c r="Z45" s="300">
        <f>S45+T45+U45*2+V45*3</f>
        <v>321</v>
      </c>
      <c r="AA45" s="300">
        <v>4</v>
      </c>
      <c r="AB45" s="300">
        <v>0</v>
      </c>
      <c r="AC45" s="300">
        <v>2</v>
      </c>
      <c r="AD45" s="9"/>
      <c r="AE45" s="6">
        <v>1978</v>
      </c>
      <c r="AF45" s="85">
        <v>0.49817656721491627</v>
      </c>
      <c r="AG45" s="86">
        <v>0.50118704487110732</v>
      </c>
      <c r="AH45" s="78">
        <v>8.0000000000000002E-3</v>
      </c>
      <c r="AI45" s="9"/>
    </row>
    <row r="46" spans="1:35" x14ac:dyDescent="0.2">
      <c r="A46" s="9"/>
      <c r="B46" s="298">
        <v>1983</v>
      </c>
      <c r="C46" s="299" t="s">
        <v>568</v>
      </c>
      <c r="D46" s="292">
        <f>(S46-V46)/(Q46-V46-Y46+AC46)</f>
        <v>0.30597014925373134</v>
      </c>
      <c r="E46" s="292">
        <f>Z46/P46</f>
        <v>0.45454545454545453</v>
      </c>
      <c r="F46" s="292">
        <f>(T46+U46+V46)/S46</f>
        <v>0.44444444444444442</v>
      </c>
      <c r="G46" s="292">
        <f>(Z46+W46)/P46</f>
        <v>0.61099365750528545</v>
      </c>
      <c r="H46" s="292">
        <f>(Z46/Q46)+((S46+X46+AA46)/(Q46+X46+AA46+AC46))</f>
        <v>0.848056981777912</v>
      </c>
      <c r="I46" s="292">
        <f>V46/Z46</f>
        <v>0.12093023255813953</v>
      </c>
      <c r="J46" s="292">
        <f>(AB46+AC46)/Z46</f>
        <v>9.3023255813953487E-3</v>
      </c>
      <c r="K46" s="292">
        <f>Y46/P46</f>
        <v>0.27061310782241016</v>
      </c>
      <c r="L46" s="292">
        <f>(X46+AA46)/P46</f>
        <v>0.10782241014799154</v>
      </c>
      <c r="M46" s="293">
        <f>(D46*0.7635+E46*0.7562+F46*0.75+G46*0.7248+H46*0.7021+I46*0.6285+1-J46*0.5884+1-K46*0.5276+L46*0.3663)/6.931</f>
        <v>0.56502508452210887</v>
      </c>
      <c r="N46" s="294">
        <f>M46/0.5044*100</f>
        <v>112.01924752619131</v>
      </c>
      <c r="O46" s="286">
        <f>(N46-100)/100*P46*0.3389</f>
        <v>19.266817726742087</v>
      </c>
      <c r="P46" s="300">
        <v>473</v>
      </c>
      <c r="Q46" s="300">
        <f>P46-X46-AA46-AB46-AC46</f>
        <v>420</v>
      </c>
      <c r="R46" s="300" t="s">
        <v>19</v>
      </c>
      <c r="S46" s="300">
        <v>108</v>
      </c>
      <c r="T46" s="300">
        <v>15</v>
      </c>
      <c r="U46" s="300">
        <v>7</v>
      </c>
      <c r="V46" s="300">
        <v>26</v>
      </c>
      <c r="W46" s="300">
        <v>74</v>
      </c>
      <c r="X46" s="300">
        <v>47</v>
      </c>
      <c r="Y46" s="300">
        <v>128</v>
      </c>
      <c r="Z46" s="300">
        <f>S46+T46+U46*2+V46*3</f>
        <v>215</v>
      </c>
      <c r="AA46" s="300">
        <v>4</v>
      </c>
      <c r="AB46" s="300">
        <v>0</v>
      </c>
      <c r="AC46" s="300">
        <v>2</v>
      </c>
      <c r="AD46" s="9"/>
      <c r="AE46" s="6">
        <v>1977</v>
      </c>
      <c r="AF46" s="85">
        <v>0.50978620724073975</v>
      </c>
      <c r="AG46" s="86">
        <v>0.49391685919899109</v>
      </c>
      <c r="AH46" s="78">
        <v>7.62E-3</v>
      </c>
      <c r="AI46" s="9"/>
    </row>
    <row r="47" spans="1:35" x14ac:dyDescent="0.2">
      <c r="A47" s="9"/>
      <c r="B47" s="298">
        <v>2015</v>
      </c>
      <c r="C47" s="299" t="s">
        <v>338</v>
      </c>
      <c r="D47" s="292">
        <f>(S47-V47)/(Q47-V47-Y47+AC47)</f>
        <v>0.3775811209439528</v>
      </c>
      <c r="E47" s="292">
        <f>Z47/P47</f>
        <v>0.42</v>
      </c>
      <c r="F47" s="292">
        <f>(T47+U47+V47)/S47</f>
        <v>0.40259740259740262</v>
      </c>
      <c r="G47" s="292">
        <f>(Z47+W47)/P47</f>
        <v>0.5723076923076923</v>
      </c>
      <c r="H47" s="292">
        <f>(Z47/Q47)+((S47+X47+AA47)/(Q47+X47+AA47+AC47))</f>
        <v>0.85760286225402504</v>
      </c>
      <c r="I47" s="292">
        <f>V47/Z47</f>
        <v>9.5238095238095233E-2</v>
      </c>
      <c r="J47" s="292">
        <f>(AB47+AC47)/Z47</f>
        <v>1.8315018315018316E-2</v>
      </c>
      <c r="K47" s="292">
        <f>Y47/P47</f>
        <v>0.30615384615384617</v>
      </c>
      <c r="L47" s="292">
        <f>(X47+AA47)/P47</f>
        <v>0.13230769230769232</v>
      </c>
      <c r="M47" s="293">
        <f>(D47*0.7635+E47*0.7562+F47*0.75+G47*0.7248+H47*0.7021+I47*0.6285+1-J47*0.5884+1-K47*0.5276+L47*0.3663)/6.931</f>
        <v>0.55703144528986448</v>
      </c>
      <c r="N47" s="294">
        <f>M47/0.5124*100</f>
        <v>108.71027425641384</v>
      </c>
      <c r="O47" s="286">
        <f>(N47-100)/100*P47*0.3389</f>
        <v>19.187427645741224</v>
      </c>
      <c r="P47" s="300">
        <v>650</v>
      </c>
      <c r="Q47" s="300">
        <f>P47-X47-AA47-AB47-AC47</f>
        <v>559</v>
      </c>
      <c r="R47" s="300" t="s">
        <v>19</v>
      </c>
      <c r="S47" s="300">
        <v>154</v>
      </c>
      <c r="T47" s="300">
        <v>31</v>
      </c>
      <c r="U47" s="300">
        <v>5</v>
      </c>
      <c r="V47" s="300">
        <v>26</v>
      </c>
      <c r="W47" s="300">
        <v>99</v>
      </c>
      <c r="X47" s="300">
        <v>77</v>
      </c>
      <c r="Y47" s="300">
        <v>199</v>
      </c>
      <c r="Z47" s="300">
        <f>S47+T47+U47*2+V47*3</f>
        <v>273</v>
      </c>
      <c r="AA47" s="300">
        <v>9</v>
      </c>
      <c r="AB47" s="300">
        <v>0</v>
      </c>
      <c r="AC47" s="300">
        <v>5</v>
      </c>
      <c r="AD47" s="9"/>
      <c r="AE47" s="6">
        <v>1976</v>
      </c>
      <c r="AF47" s="85">
        <v>0.4885272124505618</v>
      </c>
      <c r="AG47" s="86">
        <v>0.50722966123104052</v>
      </c>
      <c r="AH47" s="78">
        <v>8.0099999999999998E-3</v>
      </c>
      <c r="AI47" s="9"/>
    </row>
    <row r="48" spans="1:35" x14ac:dyDescent="0.2">
      <c r="A48" s="9"/>
      <c r="B48" s="298">
        <v>1978</v>
      </c>
      <c r="C48" s="299" t="s">
        <v>575</v>
      </c>
      <c r="D48" s="292">
        <f>(S48-V48)/(Q48-V48-Y48+AC48)</f>
        <v>0.23595505617977527</v>
      </c>
      <c r="E48" s="292">
        <f>Z48/P48</f>
        <v>0.48467966573816157</v>
      </c>
      <c r="F48" s="292">
        <f>(T48+U48+V48)/S48</f>
        <v>0.47674418604651164</v>
      </c>
      <c r="G48" s="292">
        <f>(Z48+W48)/P48</f>
        <v>0.66016713091922008</v>
      </c>
      <c r="H48" s="292">
        <f>(Z48/Q48)+((S48+X48+AA48)/(Q48+X48+AA48+AC48))</f>
        <v>0.85154885241364997</v>
      </c>
      <c r="I48" s="292">
        <f>V48/Z48</f>
        <v>0.13218390804597702</v>
      </c>
      <c r="J48" s="292">
        <f>(AB48+AC48)/Z48</f>
        <v>5.7471264367816091E-2</v>
      </c>
      <c r="K48" s="292">
        <f>Y48/P48</f>
        <v>0.11699164345403899</v>
      </c>
      <c r="L48" s="292">
        <f>(X48+AA48)/P48</f>
        <v>7.2423398328690811E-2</v>
      </c>
      <c r="M48" s="293">
        <f>(D48*0.7635+E48*0.7562+F48*0.75+G48*0.7248+H48*0.7021+I48*0.6285+1-J48*0.5884+1-K48*0.5276+L48*0.3663)/6.931</f>
        <v>0.57634563091956947</v>
      </c>
      <c r="N48" s="294">
        <f>M48/0.4982*100</f>
        <v>115.68559432347843</v>
      </c>
      <c r="O48" s="286">
        <f>(N48-100)/100*P48*0.3389</f>
        <v>19.083894019254348</v>
      </c>
      <c r="P48" s="300">
        <v>359</v>
      </c>
      <c r="Q48" s="300">
        <f>P48-X48-AA48-AB48-AC48</f>
        <v>323</v>
      </c>
      <c r="R48" s="300" t="s">
        <v>19</v>
      </c>
      <c r="S48" s="300">
        <v>86</v>
      </c>
      <c r="T48" s="300">
        <v>17</v>
      </c>
      <c r="U48" s="300">
        <v>1</v>
      </c>
      <c r="V48" s="300">
        <v>23</v>
      </c>
      <c r="W48" s="300">
        <v>63</v>
      </c>
      <c r="X48" s="300">
        <v>24</v>
      </c>
      <c r="Y48" s="300">
        <v>42</v>
      </c>
      <c r="Z48" s="300">
        <f>S48+T48+U48*2+V48*3</f>
        <v>174</v>
      </c>
      <c r="AA48" s="300">
        <v>2</v>
      </c>
      <c r="AB48" s="300">
        <v>1</v>
      </c>
      <c r="AC48" s="300">
        <v>9</v>
      </c>
      <c r="AD48" s="9"/>
      <c r="AE48" s="6">
        <v>1975</v>
      </c>
      <c r="AF48" s="85">
        <v>0.49588521480555503</v>
      </c>
      <c r="AG48" s="86">
        <v>0.50262193496410357</v>
      </c>
      <c r="AH48" s="78">
        <v>7.3099999999999997E-3</v>
      </c>
      <c r="AI48" s="9"/>
    </row>
    <row r="49" spans="1:35" x14ac:dyDescent="0.2">
      <c r="A49" s="9"/>
      <c r="B49" s="298">
        <v>1959</v>
      </c>
      <c r="C49" s="299" t="s">
        <v>601</v>
      </c>
      <c r="D49" s="292">
        <f>(S49-V49)/(Q49-V49-Y49+AC49)</f>
        <v>0.26444444444444443</v>
      </c>
      <c r="E49" s="292">
        <f>Z49/P49</f>
        <v>0.43035993740219092</v>
      </c>
      <c r="F49" s="292">
        <f>(T49+U49+V49)/S49</f>
        <v>0.3825503355704698</v>
      </c>
      <c r="G49" s="292">
        <f>(Z49+W49)/P49</f>
        <v>0.56338028169014087</v>
      </c>
      <c r="H49" s="292">
        <f>(Z49/Q49)+((S49+X49+AA49)/(Q49+X49+AA49+AC49))</f>
        <v>0.81526371132879516</v>
      </c>
      <c r="I49" s="292">
        <f>V49/Z49</f>
        <v>0.10909090909090909</v>
      </c>
      <c r="J49" s="292">
        <f>(AB49+AC49)/Z49</f>
        <v>2.5454545454545455E-2</v>
      </c>
      <c r="K49" s="292">
        <f>Y49/P49</f>
        <v>0.14397496087636932</v>
      </c>
      <c r="L49" s="292">
        <f>(X49+AA49)/P49</f>
        <v>9.7026604068857589E-2</v>
      </c>
      <c r="M49" s="293">
        <f>(D49*0.7635+E49*0.7562+F49*0.75+G49*0.7248+H49*0.7021+I49*0.6285+1-J49*0.5884+1-K49*0.5276+L49*0.3663)/6.931</f>
        <v>0.54943800131264109</v>
      </c>
      <c r="N49" s="294">
        <f>M49/0.5053*100</f>
        <v>108.73500916537525</v>
      </c>
      <c r="O49" s="286">
        <f>(N49-100)/100*P49*0.3389</f>
        <v>18.916282533270834</v>
      </c>
      <c r="P49" s="300">
        <v>639</v>
      </c>
      <c r="Q49" s="300">
        <f>P49-X49-AA49-AB49-AC49</f>
        <v>570</v>
      </c>
      <c r="R49" s="300" t="s">
        <v>19</v>
      </c>
      <c r="S49" s="300">
        <v>149</v>
      </c>
      <c r="T49" s="300">
        <v>18</v>
      </c>
      <c r="U49" s="300">
        <v>9</v>
      </c>
      <c r="V49" s="300">
        <v>30</v>
      </c>
      <c r="W49" s="300">
        <v>85</v>
      </c>
      <c r="X49" s="300">
        <v>60</v>
      </c>
      <c r="Y49" s="300">
        <v>92</v>
      </c>
      <c r="Z49" s="300">
        <f>S49+T49+U49*2+V49*3</f>
        <v>275</v>
      </c>
      <c r="AA49" s="300">
        <v>2</v>
      </c>
      <c r="AB49" s="300">
        <v>5</v>
      </c>
      <c r="AC49" s="300">
        <v>2</v>
      </c>
      <c r="AD49" s="9"/>
      <c r="AE49" s="6">
        <v>1974</v>
      </c>
      <c r="AF49" s="85">
        <v>0.49294811561303925</v>
      </c>
      <c r="AG49" s="86">
        <v>0.50446120443494968</v>
      </c>
      <c r="AH49" s="78">
        <v>7.4200000000000004E-3</v>
      </c>
      <c r="AI49" s="9"/>
    </row>
    <row r="50" spans="1:35" x14ac:dyDescent="0.2">
      <c r="A50" s="9"/>
      <c r="B50" s="298">
        <v>2008</v>
      </c>
      <c r="C50" s="299" t="s">
        <v>313</v>
      </c>
      <c r="D50" s="292">
        <f>(S50-V50)/(Q50-V50-Y50+AC50)</f>
        <v>0.30944625407166126</v>
      </c>
      <c r="E50" s="292">
        <f>Z50/P50</f>
        <v>0.46850393700787402</v>
      </c>
      <c r="F50" s="292">
        <f>(T50+U50+V50)/S50</f>
        <v>0.49180327868852458</v>
      </c>
      <c r="G50" s="292">
        <f>(Z50+W50)/P50</f>
        <v>0.63582677165354329</v>
      </c>
      <c r="H50" s="292">
        <f>(Z50/Q50)+((S50+X50+AA50)/(Q50+X50+AA50+AC50))</f>
        <v>0.87376968503937014</v>
      </c>
      <c r="I50" s="292">
        <f>V50/Z50</f>
        <v>0.1134453781512605</v>
      </c>
      <c r="J50" s="292">
        <f>(AB50+AC50)/Z50</f>
        <v>3.3613445378151259E-2</v>
      </c>
      <c r="K50" s="292">
        <f>Y50/P50</f>
        <v>0.24015748031496062</v>
      </c>
      <c r="L50" s="292">
        <f>(X50+AA50)/P50</f>
        <v>0.10236220472440945</v>
      </c>
      <c r="M50" s="293">
        <f>(D50*0.7635+E50*0.7562+F50*0.75+G50*0.7248+H50*0.7021+I50*0.6285+1-J50*0.5884+1-K50*0.5276+L50*0.3663)/6.931</f>
        <v>0.57654432967970448</v>
      </c>
      <c r="N50" s="294">
        <f>M50/0.5195*100</f>
        <v>110.98062169002974</v>
      </c>
      <c r="O50" s="286">
        <f>(N50-100)/100*P50*0.3389</f>
        <v>18.904370069015474</v>
      </c>
      <c r="P50" s="300">
        <v>508</v>
      </c>
      <c r="Q50" s="300">
        <f>P50-X50-AA50-AB50-AC50</f>
        <v>448</v>
      </c>
      <c r="R50" s="300" t="s">
        <v>19</v>
      </c>
      <c r="S50" s="300">
        <v>122</v>
      </c>
      <c r="T50" s="300">
        <v>31</v>
      </c>
      <c r="U50" s="300">
        <v>2</v>
      </c>
      <c r="V50" s="300">
        <v>27</v>
      </c>
      <c r="W50" s="300">
        <v>85</v>
      </c>
      <c r="X50" s="300">
        <v>46</v>
      </c>
      <c r="Y50" s="300">
        <v>122</v>
      </c>
      <c r="Z50" s="300">
        <f>S50+T50+U50*2+V50*3</f>
        <v>238</v>
      </c>
      <c r="AA50" s="300">
        <v>6</v>
      </c>
      <c r="AB50" s="300">
        <v>0</v>
      </c>
      <c r="AC50" s="300">
        <v>8</v>
      </c>
      <c r="AD50" s="9"/>
      <c r="AE50" s="6">
        <v>1973</v>
      </c>
      <c r="AF50" s="85">
        <v>0.49830997402873745</v>
      </c>
      <c r="AG50" s="86">
        <v>0.50110350289183414</v>
      </c>
      <c r="AH50" s="78">
        <v>6.7799999999999996E-3</v>
      </c>
      <c r="AI50" s="9"/>
    </row>
    <row r="51" spans="1:35" x14ac:dyDescent="0.2">
      <c r="A51" s="9"/>
      <c r="B51" s="301">
        <v>1957</v>
      </c>
      <c r="C51" s="302" t="s">
        <v>604</v>
      </c>
      <c r="D51" s="303">
        <f>(S51-V51)/(Q51-V51-Y51+AC51)</f>
        <v>0.25557206537890043</v>
      </c>
      <c r="E51" s="303">
        <f>Z51/P51</f>
        <v>0.30637007077856421</v>
      </c>
      <c r="F51" s="303">
        <f>(T51+U51+V51)/S51</f>
        <v>0.28865979381443296</v>
      </c>
      <c r="G51" s="303">
        <f>(Z51+R51)/P51</f>
        <v>0.40141557128412536</v>
      </c>
      <c r="H51" s="303">
        <f>(Z51/Q51)+((S51+X51+AA51)/(Q51+X51+AA51+AC51))</f>
        <v>0.64204128120496495</v>
      </c>
      <c r="I51" s="303">
        <f>V51/Z51</f>
        <v>7.2607260726072612E-2</v>
      </c>
      <c r="J51" s="303">
        <f>(AB51+AC51)/Z51</f>
        <v>4.6204620462046202E-2</v>
      </c>
      <c r="K51" s="303">
        <f>Y51/P51</f>
        <v>0.19009100101112233</v>
      </c>
      <c r="L51" s="303">
        <f>(X51+AA51)/P51</f>
        <v>9.8078867542972695E-2</v>
      </c>
      <c r="M51" s="304">
        <f>(1-D51*0.7635+1-E51*0.7562+1-F51*0.75+1-G51*0.7248+1-H51*0.7021+1-I51*0.6285+J51*0.5884+K51*0.5276+1-L51*0.3663)/11.068</f>
        <v>0.51146498950712904</v>
      </c>
      <c r="N51" s="308">
        <f>M51/0.4973*100</f>
        <v>102.84837914882949</v>
      </c>
      <c r="O51" s="307">
        <f>(N51-100)/100*P51*0.6611</f>
        <v>18.623497572829756</v>
      </c>
      <c r="P51" s="300">
        <v>989</v>
      </c>
      <c r="Q51" s="300">
        <f>P51-X51-AA51-AB51-AC51</f>
        <v>878</v>
      </c>
      <c r="R51" s="300">
        <v>94</v>
      </c>
      <c r="S51" s="300">
        <v>194</v>
      </c>
      <c r="T51" s="300">
        <v>25</v>
      </c>
      <c r="U51" s="300">
        <v>9</v>
      </c>
      <c r="V51" s="300">
        <v>22</v>
      </c>
      <c r="W51" s="300" t="s">
        <v>19</v>
      </c>
      <c r="X51" s="300">
        <v>94</v>
      </c>
      <c r="Y51" s="300">
        <v>188</v>
      </c>
      <c r="Z51" s="300">
        <f>S51+T51+U51*2+V51*3</f>
        <v>303</v>
      </c>
      <c r="AA51" s="300">
        <v>3</v>
      </c>
      <c r="AB51" s="300">
        <v>9</v>
      </c>
      <c r="AC51" s="300">
        <v>5</v>
      </c>
      <c r="AD51" s="9"/>
      <c r="AE51" s="6">
        <v>1972</v>
      </c>
      <c r="AF51" s="85">
        <v>0.48460466076172293</v>
      </c>
      <c r="AG51" s="86">
        <v>0.50968604050058719</v>
      </c>
      <c r="AH51" s="78">
        <v>6.3099999999999996E-3</v>
      </c>
      <c r="AI51" s="9"/>
    </row>
    <row r="52" spans="1:35" x14ac:dyDescent="0.2">
      <c r="A52" s="9"/>
      <c r="B52" s="298">
        <v>1949</v>
      </c>
      <c r="C52" s="299" t="s">
        <v>616</v>
      </c>
      <c r="D52" s="292">
        <f>(S52-V52)/(Q52-V52-Y52+AC52)</f>
        <v>0.33684210526315789</v>
      </c>
      <c r="E52" s="292">
        <f>Z52/P52</f>
        <v>0.40733944954128443</v>
      </c>
      <c r="F52" s="292">
        <f>(T52+U52+V52)/S52</f>
        <v>0.3125</v>
      </c>
      <c r="G52" s="292">
        <f>(Z52+W52)/P52</f>
        <v>0.57431192660550456</v>
      </c>
      <c r="H52" s="292">
        <f>(Z52/Q52)+((S52+X52+AA52)/(Q52+X52+AA52+AC52))</f>
        <v>0.87418490503402646</v>
      </c>
      <c r="I52" s="292">
        <f>V52/Z52</f>
        <v>7.2072072072072071E-2</v>
      </c>
      <c r="J52" s="292">
        <f>(AB52+AC52)/Z52</f>
        <v>3.1531531531531529E-2</v>
      </c>
      <c r="K52" s="292">
        <f>Y52/P52</f>
        <v>0.13761467889908258</v>
      </c>
      <c r="L52" s="292">
        <f>(X52+AA52)/P52</f>
        <v>0.13211009174311927</v>
      </c>
      <c r="M52" s="293">
        <f>(D52*0.7635+E52*0.7562+F52*0.75+G52*0.7248+H52*0.7021+I52*0.6285+1-J52*0.5884+1-K52*0.5276+L52*0.3663)/6.931</f>
        <v>0.55289873200145623</v>
      </c>
      <c r="N52" s="294">
        <f>M52/0.5029*100</f>
        <v>109.94208232281891</v>
      </c>
      <c r="O52" s="286">
        <f>(N52-100)/100*P52*0.3389</f>
        <v>18.363075760658134</v>
      </c>
      <c r="P52" s="300">
        <v>545</v>
      </c>
      <c r="Q52" s="311">
        <f>P52-X52-AA52-AB52-AC52</f>
        <v>466</v>
      </c>
      <c r="R52" s="300" t="s">
        <v>19</v>
      </c>
      <c r="S52" s="300">
        <v>144</v>
      </c>
      <c r="T52" s="300">
        <v>28</v>
      </c>
      <c r="U52" s="300">
        <v>1</v>
      </c>
      <c r="V52" s="300">
        <v>16</v>
      </c>
      <c r="W52" s="300">
        <v>91</v>
      </c>
      <c r="X52" s="300">
        <v>70</v>
      </c>
      <c r="Y52" s="300">
        <v>75</v>
      </c>
      <c r="Z52" s="300">
        <f>S52+T52+U52*2+V52*3</f>
        <v>222</v>
      </c>
      <c r="AA52" s="300">
        <v>2</v>
      </c>
      <c r="AB52" s="300">
        <v>2</v>
      </c>
      <c r="AC52" s="311">
        <v>5</v>
      </c>
      <c r="AD52" s="9"/>
      <c r="AE52" s="6">
        <v>1971</v>
      </c>
      <c r="AF52" s="85">
        <v>0.49050773526907787</v>
      </c>
      <c r="AG52" s="86">
        <v>0.50598941876129588</v>
      </c>
      <c r="AH52" s="78">
        <v>6.7299999999999999E-3</v>
      </c>
      <c r="AI52" s="9"/>
    </row>
    <row r="53" spans="1:35" x14ac:dyDescent="0.2">
      <c r="A53" s="9"/>
      <c r="B53" s="298">
        <v>2018</v>
      </c>
      <c r="C53" s="299" t="s">
        <v>519</v>
      </c>
      <c r="D53" s="292">
        <f>(S53-V53)/(Q53-V53-Y53+AC53)</f>
        <v>0.34803921568627449</v>
      </c>
      <c r="E53" s="292">
        <f>Z53/P53</f>
        <v>0.50136239782016345</v>
      </c>
      <c r="F53" s="292">
        <f>(T53+U53+V53)/S53</f>
        <v>0.4838709677419355</v>
      </c>
      <c r="G53" s="292">
        <f>(Z53+W53)/P53</f>
        <v>0.66757493188010897</v>
      </c>
      <c r="H53" s="292">
        <f>(Z53/Q53)+((S53+X53+AA53)/(Q53+X53+AA53+AC53))</f>
        <v>0.92236415602163169</v>
      </c>
      <c r="I53" s="292">
        <f>V53/Z53</f>
        <v>0.11956521739130435</v>
      </c>
      <c r="J53" s="292">
        <f>(AB53+AC53)/Z53</f>
        <v>5.434782608695652E-3</v>
      </c>
      <c r="K53" s="292">
        <f>Y53/P53</f>
        <v>0.27792915531335149</v>
      </c>
      <c r="L53" s="292">
        <f>(X53+AA53)/P53</f>
        <v>0.10626702997275204</v>
      </c>
      <c r="M53" s="293">
        <f>(D53*0.7635+E53*0.7562+F53*0.75+G53*0.7248+H53*0.7021+I53*0.6285+1-J53*0.5884+1-K53*0.5276+L53*0.3663)/6.931</f>
        <v>0.59204309631556684</v>
      </c>
      <c r="N53" s="294">
        <f>M53/0.5164*100</f>
        <v>114.64815962733672</v>
      </c>
      <c r="O53" s="286">
        <f>(N53-100)/100*P53*0.3389</f>
        <v>18.218838962575205</v>
      </c>
      <c r="P53" s="300">
        <v>367</v>
      </c>
      <c r="Q53" s="300">
        <f>P53-X53-AA53-AB53-AC53</f>
        <v>327</v>
      </c>
      <c r="R53" s="300" t="s">
        <v>19</v>
      </c>
      <c r="S53" s="300">
        <v>93</v>
      </c>
      <c r="T53" s="300">
        <v>21</v>
      </c>
      <c r="U53" s="300">
        <v>2</v>
      </c>
      <c r="V53" s="300">
        <v>22</v>
      </c>
      <c r="W53" s="300">
        <v>61</v>
      </c>
      <c r="X53" s="300">
        <v>37</v>
      </c>
      <c r="Y53" s="300">
        <v>102</v>
      </c>
      <c r="Z53" s="300">
        <f>S53+T53+U53*2+V53*3</f>
        <v>184</v>
      </c>
      <c r="AA53" s="300">
        <v>2</v>
      </c>
      <c r="AB53" s="300">
        <v>0</v>
      </c>
      <c r="AC53" s="300">
        <v>1</v>
      </c>
      <c r="AD53" s="9"/>
      <c r="AE53" s="6">
        <v>1970</v>
      </c>
      <c r="AF53" s="85">
        <v>0.50184155824333831</v>
      </c>
      <c r="AG53" s="86">
        <v>0.49889195516944551</v>
      </c>
      <c r="AH53" s="78">
        <v>6.6299999999999996E-3</v>
      </c>
      <c r="AI53" s="9"/>
    </row>
    <row r="54" spans="1:35" x14ac:dyDescent="0.2">
      <c r="A54" s="9"/>
      <c r="B54" s="301">
        <v>1989</v>
      </c>
      <c r="C54" s="302" t="s">
        <v>558</v>
      </c>
      <c r="D54" s="303">
        <f>(S54-V54)/(Q54-V54-Y54+AC54)</f>
        <v>0.26168224299065418</v>
      </c>
      <c r="E54" s="303">
        <f>Z54/P54</f>
        <v>0.21067415730337077</v>
      </c>
      <c r="F54" s="303">
        <f>(T54+U54+V54)/S54</f>
        <v>0.2807017543859649</v>
      </c>
      <c r="G54" s="303">
        <f>(Z54+R54)/P54</f>
        <v>0.25842696629213485</v>
      </c>
      <c r="H54" s="303">
        <f>(Z54/Q54)+((S54+X54+AA54)/(Q54+X54+AA54+AC54))</f>
        <v>0.54216507177033491</v>
      </c>
      <c r="I54" s="303">
        <f>V54/Z54</f>
        <v>1.3333333333333334E-2</v>
      </c>
      <c r="J54" s="303">
        <f>(AB54+AC54)/Z54</f>
        <v>6.6666666666666666E-2</v>
      </c>
      <c r="K54" s="303">
        <f>Y54/P54</f>
        <v>0.25280898876404495</v>
      </c>
      <c r="L54" s="303">
        <f>(X54+AA54)/P54</f>
        <v>0.13202247191011235</v>
      </c>
      <c r="M54" s="304">
        <f>(1-D54*0.7635+1-E54*0.7562+1-F54*0.75+1-G54*0.7248+1-H54*0.7021+1-I54*0.6285+J54*0.5884+K54*0.5276+1-L54*0.3663)/11.068</f>
        <v>0.54014043996691052</v>
      </c>
      <c r="N54" s="308">
        <f>M54/0.5019*100</f>
        <v>107.61913527932067</v>
      </c>
      <c r="O54" s="307">
        <f>(N54-100)/100*P54*0.6611</f>
        <v>17.931756786045675</v>
      </c>
      <c r="P54" s="300">
        <v>356</v>
      </c>
      <c r="Q54" s="300">
        <f>P54-X54-AA54-AB54-AC54</f>
        <v>304</v>
      </c>
      <c r="R54" s="300">
        <v>17</v>
      </c>
      <c r="S54" s="300">
        <v>57</v>
      </c>
      <c r="T54" s="300">
        <v>15</v>
      </c>
      <c r="U54" s="300">
        <v>0</v>
      </c>
      <c r="V54" s="300">
        <v>1</v>
      </c>
      <c r="W54" s="300" t="s">
        <v>19</v>
      </c>
      <c r="X54" s="300">
        <v>46</v>
      </c>
      <c r="Y54" s="300">
        <v>90</v>
      </c>
      <c r="Z54" s="300">
        <f>S54+T54+U54*2+V54*3</f>
        <v>75</v>
      </c>
      <c r="AA54" s="300">
        <v>1</v>
      </c>
      <c r="AB54" s="300">
        <v>4</v>
      </c>
      <c r="AC54" s="300">
        <v>1</v>
      </c>
      <c r="AD54" s="9"/>
      <c r="AE54" s="6">
        <v>1969</v>
      </c>
      <c r="AF54" s="85">
        <v>0.49318341114600062</v>
      </c>
      <c r="AG54" s="86">
        <v>0.50431385772922577</v>
      </c>
      <c r="AH54" s="78">
        <v>6.1700000000000001E-3</v>
      </c>
      <c r="AI54" s="9"/>
    </row>
    <row r="55" spans="1:35" x14ac:dyDescent="0.2">
      <c r="A55" s="9"/>
      <c r="B55" s="298">
        <v>1959</v>
      </c>
      <c r="C55" s="299" t="s">
        <v>121</v>
      </c>
      <c r="D55" s="292">
        <f>(S55-V55)/(Q55-V55-Y55+AC55)</f>
        <v>0.37931034482758619</v>
      </c>
      <c r="E55" s="292">
        <f>Z55/P55</f>
        <v>0.57534246575342463</v>
      </c>
      <c r="F55" s="292">
        <f>(T55+U55+V55)/S55</f>
        <v>0.39705882352941174</v>
      </c>
      <c r="G55" s="292">
        <f>(Z55+W55)/P55</f>
        <v>0.74885844748858443</v>
      </c>
      <c r="H55" s="291">
        <f>(Z55/Q55)+((S55+X55+AA55)/(Q55+X55+AA55+AC55))</f>
        <v>1.0854737442922375</v>
      </c>
      <c r="I55" s="292">
        <f>V55/Z55</f>
        <v>0.10317460317460317</v>
      </c>
      <c r="J55" s="292">
        <f>(AB55+AC55)/Z55</f>
        <v>7.9365079365079361E-3</v>
      </c>
      <c r="K55" s="292">
        <f>Y55/P55</f>
        <v>0.15981735159817351</v>
      </c>
      <c r="L55" s="292">
        <f>(X55+AA55)/P55</f>
        <v>0.11872146118721461</v>
      </c>
      <c r="M55" s="293">
        <f>(D55*0.7635+E55*0.7562+F55*0.75+G55*0.7248+H55*0.7021+I55*0.6285+1-J55*0.5884+1-K55*0.5276+L55*0.3663)/6.931</f>
        <v>0.6271387520542554</v>
      </c>
      <c r="N55" s="288">
        <f>M55/0.5053*100</f>
        <v>124.1121614989621</v>
      </c>
      <c r="O55" s="286">
        <f>(N55-100)/100*P55*0.3389</f>
        <v>17.895829255076176</v>
      </c>
      <c r="P55" s="300">
        <v>219</v>
      </c>
      <c r="Q55" s="300">
        <f>P55-X55-AA55-AB55-AC55</f>
        <v>192</v>
      </c>
      <c r="R55" s="300" t="s">
        <v>19</v>
      </c>
      <c r="S55" s="300">
        <v>68</v>
      </c>
      <c r="T55" s="300">
        <v>9</v>
      </c>
      <c r="U55" s="300">
        <v>5</v>
      </c>
      <c r="V55" s="300">
        <v>13</v>
      </c>
      <c r="W55" s="300">
        <v>38</v>
      </c>
      <c r="X55" s="300">
        <v>22</v>
      </c>
      <c r="Y55" s="300">
        <v>35</v>
      </c>
      <c r="Z55" s="300">
        <f>S55+T55+U55*2+V55*3</f>
        <v>126</v>
      </c>
      <c r="AA55" s="300">
        <v>4</v>
      </c>
      <c r="AB55" s="300">
        <v>0</v>
      </c>
      <c r="AC55" s="300">
        <v>1</v>
      </c>
      <c r="AD55" s="9"/>
      <c r="AE55" s="6">
        <v>1968</v>
      </c>
      <c r="AF55" s="85">
        <v>0.47677414581874861</v>
      </c>
      <c r="AG55" s="86">
        <v>0.51458966347400192</v>
      </c>
      <c r="AH55" s="78">
        <v>6.2300000000000003E-3</v>
      </c>
      <c r="AI55" s="9"/>
    </row>
    <row r="56" spans="1:35" x14ac:dyDescent="0.2">
      <c r="A56" s="9"/>
      <c r="B56" s="301">
        <v>1980</v>
      </c>
      <c r="C56" s="302" t="s">
        <v>571</v>
      </c>
      <c r="D56" s="303">
        <f>(S56-V56)/(Q56-V56-Y56+AC56)</f>
        <v>0.2857142857142857</v>
      </c>
      <c r="E56" s="303">
        <f>Z56/P56</f>
        <v>0.2618384401114206</v>
      </c>
      <c r="F56" s="314">
        <f>(T56+U56+V56)/S56</f>
        <v>0.10843373493975904</v>
      </c>
      <c r="G56" s="303">
        <f>(Z56+R56)/P56</f>
        <v>0.35376044568245124</v>
      </c>
      <c r="H56" s="303">
        <f>(Z56/Q56)+((S56+X56+AA56)/(Q56+X56+AA56+AC56))</f>
        <v>0.59496676163342832</v>
      </c>
      <c r="I56" s="303">
        <f>V56/Z56</f>
        <v>1.0638297872340425E-2</v>
      </c>
      <c r="J56" s="314">
        <f>(AB56+AC56)/Z56</f>
        <v>0.11702127659574468</v>
      </c>
      <c r="K56" s="303">
        <f>Y56/P56</f>
        <v>0.10863509749303621</v>
      </c>
      <c r="L56" s="303">
        <f>(X56+AA56)/P56</f>
        <v>6.6852367688022288E-2</v>
      </c>
      <c r="M56" s="304">
        <f>(1-D56*0.7635+1-E56*0.7562+1-F56*0.75+1-G56*0.7248+1-H56*0.7021+1-I56*0.6285+J56*0.5884+K56*0.5276+1-L56*0.3663)/11.068</f>
        <v>0.53518204580375583</v>
      </c>
      <c r="N56" s="308">
        <f>M56/0.4984*100</f>
        <v>107.38002524152404</v>
      </c>
      <c r="O56" s="307">
        <f>(N56-100)/100*P56*0.6611</f>
        <v>17.515375526945835</v>
      </c>
      <c r="P56" s="300">
        <v>359</v>
      </c>
      <c r="Q56" s="300">
        <f>P56-X56-AA56-AB56-AC56</f>
        <v>324</v>
      </c>
      <c r="R56" s="300">
        <v>33</v>
      </c>
      <c r="S56" s="300">
        <v>83</v>
      </c>
      <c r="T56" s="300">
        <v>8</v>
      </c>
      <c r="U56" s="300">
        <v>0</v>
      </c>
      <c r="V56" s="300">
        <v>1</v>
      </c>
      <c r="W56" s="300" t="s">
        <v>19</v>
      </c>
      <c r="X56" s="300">
        <v>22</v>
      </c>
      <c r="Y56" s="300">
        <v>39</v>
      </c>
      <c r="Z56" s="300">
        <f>S56+T56+U56*2+V56*3</f>
        <v>94</v>
      </c>
      <c r="AA56" s="300">
        <v>2</v>
      </c>
      <c r="AB56" s="300">
        <v>8</v>
      </c>
      <c r="AC56" s="300">
        <v>3</v>
      </c>
      <c r="AD56" s="9"/>
      <c r="AE56" s="6">
        <v>1967</v>
      </c>
      <c r="AF56" s="85">
        <v>0.48630740237399267</v>
      </c>
      <c r="AG56" s="86">
        <v>0.50861975010352867</v>
      </c>
      <c r="AH56" s="78">
        <v>6.0600000000000003E-3</v>
      </c>
      <c r="AI56" s="9"/>
    </row>
    <row r="57" spans="1:35" x14ac:dyDescent="0.2">
      <c r="A57" s="9"/>
      <c r="B57" s="298">
        <v>1980</v>
      </c>
      <c r="C57" s="299" t="s">
        <v>570</v>
      </c>
      <c r="D57" s="292">
        <f>(S57-V57)/(Q57-V57-Y57+AC57)</f>
        <v>0.29508196721311475</v>
      </c>
      <c r="E57" s="292">
        <f>Z57/P57</f>
        <v>0.431640625</v>
      </c>
      <c r="F57" s="292">
        <f>(T57+U57+V57)/S57</f>
        <v>0.32061068702290074</v>
      </c>
      <c r="G57" s="292">
        <f>(Z57+W57)/P57</f>
        <v>0.6015625</v>
      </c>
      <c r="H57" s="292">
        <f>(Z57/Q57)+((S57+X57+AA57)/(Q57+X57+AA57+AC57))</f>
        <v>0.84598005037086954</v>
      </c>
      <c r="I57" s="292">
        <f>V57/Z57</f>
        <v>0.10407239819004525</v>
      </c>
      <c r="J57" s="292">
        <f>(AB57+AC57)/Z57</f>
        <v>3.1674208144796379E-2</v>
      </c>
      <c r="K57" s="292">
        <f>Y57/P57</f>
        <v>0.13671875</v>
      </c>
      <c r="L57" s="292">
        <f>(X57+AA57)/P57</f>
        <v>0.1015625</v>
      </c>
      <c r="M57" s="293">
        <f>(D57*0.7635+E57*0.7562+F57*0.75+G57*0.7248+H57*0.7021+I57*0.6285+1-J57*0.5884+1-K57*0.5276+L57*0.3663)/6.931</f>
        <v>0.55316357822317441</v>
      </c>
      <c r="N57" s="294">
        <f>M57/0.5026*100</f>
        <v>110.06040155654087</v>
      </c>
      <c r="O57" s="286">
        <f>(N57-100)/100*P57*0.3389</f>
        <v>17.456486848059903</v>
      </c>
      <c r="P57" s="300">
        <v>512</v>
      </c>
      <c r="Q57" s="300">
        <f>P57-X57-AA57-AB57-AC57</f>
        <v>453</v>
      </c>
      <c r="R57" s="300" t="s">
        <v>19</v>
      </c>
      <c r="S57" s="300">
        <v>131</v>
      </c>
      <c r="T57" s="300">
        <v>17</v>
      </c>
      <c r="U57" s="300">
        <v>2</v>
      </c>
      <c r="V57" s="300">
        <v>23</v>
      </c>
      <c r="W57" s="300">
        <v>87</v>
      </c>
      <c r="X57" s="300">
        <v>49</v>
      </c>
      <c r="Y57" s="300">
        <v>70</v>
      </c>
      <c r="Z57" s="300">
        <f>S57+T57+U57*2+V57*3</f>
        <v>221</v>
      </c>
      <c r="AA57" s="300">
        <v>3</v>
      </c>
      <c r="AB57" s="300">
        <v>1</v>
      </c>
      <c r="AC57" s="300">
        <v>6</v>
      </c>
      <c r="AD57" s="9"/>
      <c r="AE57" s="6">
        <v>1966</v>
      </c>
      <c r="AF57" s="85">
        <v>0.49572966762159681</v>
      </c>
      <c r="AG57" s="86">
        <v>0.50271934168004262</v>
      </c>
      <c r="AH57" s="78">
        <v>6.1000000000000004E-3</v>
      </c>
      <c r="AI57" s="9"/>
    </row>
    <row r="58" spans="1:35" x14ac:dyDescent="0.2">
      <c r="A58" s="9"/>
      <c r="B58" s="298">
        <v>2004</v>
      </c>
      <c r="C58" s="299" t="s">
        <v>535</v>
      </c>
      <c r="D58" s="292">
        <f>(S58-V58)/(Q58-V58-Y58+AC58)</f>
        <v>0.34482758620689657</v>
      </c>
      <c r="E58" s="292">
        <f>Z58/P58</f>
        <v>0.4788135593220339</v>
      </c>
      <c r="F58" s="292">
        <f>(T58+U58+V58)/S58</f>
        <v>0.46551724137931033</v>
      </c>
      <c r="G58" s="292">
        <f>(Z58+W58)/P58</f>
        <v>0.65254237288135597</v>
      </c>
      <c r="H58" s="292">
        <f>(Z58/Q58)+((S58+X58+AA58)/(Q58+X58+AA58+AC58))</f>
        <v>0.90748005856088199</v>
      </c>
      <c r="I58" s="292">
        <f>V58/Z58</f>
        <v>0.11504424778761062</v>
      </c>
      <c r="J58" s="292">
        <f>(AB58+AC58)/Z58</f>
        <v>4.4247787610619468E-2</v>
      </c>
      <c r="K58" s="292">
        <f>Y58/P58</f>
        <v>0.27330508474576271</v>
      </c>
      <c r="L58" s="292">
        <f>(X58+AA58)/P58</f>
        <v>0.10805084745762712</v>
      </c>
      <c r="M58" s="293">
        <f>(D58*0.7635+E58*0.7562+F58*0.75+G58*0.7248+H58*0.7021+I58*0.6285+1-J58*0.5884+1-K58*0.5276+L58*0.3663)/6.931</f>
        <v>0.58090466626158721</v>
      </c>
      <c r="N58" s="294">
        <f>M58/0.5246*100</f>
        <v>110.73287576469448</v>
      </c>
      <c r="O58" s="286">
        <f>(N58-100)/100*P58*0.3389</f>
        <v>17.168393936211412</v>
      </c>
      <c r="P58" s="300">
        <v>472</v>
      </c>
      <c r="Q58" s="300">
        <f>P58-X58-AA58-AB58-AC58</f>
        <v>411</v>
      </c>
      <c r="R58" s="300" t="s">
        <v>19</v>
      </c>
      <c r="S58" s="300">
        <v>116</v>
      </c>
      <c r="T58" s="300">
        <v>24</v>
      </c>
      <c r="U58" s="300">
        <v>4</v>
      </c>
      <c r="V58" s="300">
        <v>26</v>
      </c>
      <c r="W58" s="300">
        <v>82</v>
      </c>
      <c r="X58" s="300">
        <v>41</v>
      </c>
      <c r="Y58" s="300">
        <v>129</v>
      </c>
      <c r="Z58" s="300">
        <f>S58+T58+U58*2+V58*3</f>
        <v>226</v>
      </c>
      <c r="AA58" s="300">
        <v>10</v>
      </c>
      <c r="AB58" s="300">
        <v>5</v>
      </c>
      <c r="AC58" s="300">
        <v>5</v>
      </c>
      <c r="AD58" s="9"/>
      <c r="AE58" s="6">
        <v>1965</v>
      </c>
      <c r="AF58" s="85">
        <v>0.49389125172724962</v>
      </c>
      <c r="AG58" s="86">
        <v>0.50387059398973899</v>
      </c>
      <c r="AH58" s="78">
        <v>6.2399999999999999E-3</v>
      </c>
      <c r="AI58" s="9"/>
    </row>
    <row r="59" spans="1:35" x14ac:dyDescent="0.2">
      <c r="A59" s="9"/>
      <c r="B59" s="298">
        <v>2008</v>
      </c>
      <c r="C59" s="299" t="s">
        <v>531</v>
      </c>
      <c r="D59" s="292">
        <f>(S59-V59)/(Q59-V59-Y59+AC59)</f>
        <v>0.3323943661971831</v>
      </c>
      <c r="E59" s="292">
        <f>Z59/P59</f>
        <v>0.44227353463587921</v>
      </c>
      <c r="F59" s="292">
        <f>(T59+U59+V59)/S59</f>
        <v>0.42553191489361702</v>
      </c>
      <c r="G59" s="292">
        <f>(Z59+W59)/P59</f>
        <v>0.5950266429840142</v>
      </c>
      <c r="H59" s="292">
        <f>(Z59/Q59)+((S59+X59+AA59)/(Q59+X59+AA59+AC59))</f>
        <v>0.86816936452348248</v>
      </c>
      <c r="I59" s="292">
        <f>V59/Z59</f>
        <v>9.2369477911646583E-2</v>
      </c>
      <c r="J59" s="292">
        <f>(AB59+AC59)/Z59</f>
        <v>2.0080321285140562E-2</v>
      </c>
      <c r="K59" s="292">
        <f>Y59/P59</f>
        <v>0.21492007104795738</v>
      </c>
      <c r="L59" s="292">
        <f>(X59+AA59)/P59</f>
        <v>0.11367673179396093</v>
      </c>
      <c r="M59" s="293">
        <f>(D59*0.7635+E59*0.7562+F59*0.75+G59*0.7248+H59*0.7021+I59*0.6285+1-J59*0.5884+1-K59*0.5276+L59*0.3663)/6.931</f>
        <v>0.56596208577617702</v>
      </c>
      <c r="N59" s="294">
        <f>M59/0.5195*100</f>
        <v>108.94361612630934</v>
      </c>
      <c r="O59" s="286">
        <f>(N59-100)/100*P59*0.3389</f>
        <v>17.064482174311099</v>
      </c>
      <c r="P59" s="300">
        <v>563</v>
      </c>
      <c r="Q59" s="300">
        <f>P59-X59-AA59-AB59-AC59</f>
        <v>494</v>
      </c>
      <c r="R59" s="300" t="s">
        <v>19</v>
      </c>
      <c r="S59" s="300">
        <v>141</v>
      </c>
      <c r="T59" s="300">
        <v>35</v>
      </c>
      <c r="U59" s="300">
        <v>2</v>
      </c>
      <c r="V59" s="300">
        <v>23</v>
      </c>
      <c r="W59" s="300">
        <v>86</v>
      </c>
      <c r="X59" s="300">
        <v>62</v>
      </c>
      <c r="Y59" s="300">
        <v>121</v>
      </c>
      <c r="Z59" s="300">
        <f>S59+T59+U59*2+V59*3</f>
        <v>249</v>
      </c>
      <c r="AA59" s="300">
        <v>2</v>
      </c>
      <c r="AB59" s="300">
        <v>0</v>
      </c>
      <c r="AC59" s="300">
        <v>5</v>
      </c>
      <c r="AD59" s="9"/>
      <c r="AE59" s="6">
        <v>1964</v>
      </c>
      <c r="AF59" s="85">
        <v>0.49670624535059588</v>
      </c>
      <c r="AG59" s="86">
        <v>0.50210778943576273</v>
      </c>
      <c r="AH59" s="78">
        <v>6.0099999999999997E-3</v>
      </c>
      <c r="AI59" s="9"/>
    </row>
    <row r="60" spans="1:35" x14ac:dyDescent="0.2">
      <c r="A60" s="9"/>
      <c r="B60" s="298">
        <v>1961</v>
      </c>
      <c r="C60" s="299" t="s">
        <v>119</v>
      </c>
      <c r="D60" s="292">
        <f>(S60-V60)/(Q60-V60-Y60+AC60)</f>
        <v>0.27853881278538811</v>
      </c>
      <c r="E60" s="292">
        <f>Z60/P60</f>
        <v>0.43835616438356162</v>
      </c>
      <c r="F60" s="292">
        <f>(T60+U60+V60)/S60</f>
        <v>0.35374149659863946</v>
      </c>
      <c r="G60" s="292">
        <f>(Z60+W60)/P60</f>
        <v>0.58561643835616439</v>
      </c>
      <c r="H60" s="292">
        <f>(Z60/Q60)+((S60+X60+AA60)/(Q60+X60+AA60+AC60))</f>
        <v>0.82183932271316795</v>
      </c>
      <c r="I60" s="292">
        <f>V60/Z60</f>
        <v>9.765625E-2</v>
      </c>
      <c r="J60" s="292">
        <f>(AB60+AC60)/Z60</f>
        <v>1.953125E-2</v>
      </c>
      <c r="K60" s="292">
        <f>Y60/P60</f>
        <v>0.11986301369863013</v>
      </c>
      <c r="L60" s="292">
        <f>(X60+AA60)/P60</f>
        <v>8.5616438356164379E-2</v>
      </c>
      <c r="M60" s="293">
        <f>(D60*0.7635+E60*0.7562+F60*0.75+G60*0.7248+H60*0.7021+I60*0.6285+1-J60*0.5884+1-K60*0.5276+L60*0.3663)/6.931</f>
        <v>0.55243542944487101</v>
      </c>
      <c r="N60" s="294">
        <f>M60/0.5087*100</f>
        <v>108.59748957044839</v>
      </c>
      <c r="O60" s="286">
        <f>(N60-100)/100*P60*0.3389</f>
        <v>17.015945018081759</v>
      </c>
      <c r="P60" s="300">
        <v>584</v>
      </c>
      <c r="Q60" s="300">
        <f>P60-X60-AA60-AB60-AC60</f>
        <v>529</v>
      </c>
      <c r="R60" s="300" t="s">
        <v>19</v>
      </c>
      <c r="S60" s="300">
        <v>147</v>
      </c>
      <c r="T60" s="300">
        <v>20</v>
      </c>
      <c r="U60" s="300">
        <v>7</v>
      </c>
      <c r="V60" s="300">
        <v>25</v>
      </c>
      <c r="W60" s="300">
        <v>86</v>
      </c>
      <c r="X60" s="300">
        <v>45</v>
      </c>
      <c r="Y60" s="300">
        <v>70</v>
      </c>
      <c r="Z60" s="300">
        <f>S60+T60+U60*2+V60*3</f>
        <v>256</v>
      </c>
      <c r="AA60" s="300">
        <v>5</v>
      </c>
      <c r="AB60" s="300">
        <v>1</v>
      </c>
      <c r="AC60" s="300">
        <v>4</v>
      </c>
      <c r="AD60" s="9"/>
      <c r="AE60" s="6">
        <v>1963</v>
      </c>
      <c r="AF60" s="85">
        <v>0.49363490553981559</v>
      </c>
      <c r="AG60" s="86">
        <v>0.50403112303067754</v>
      </c>
      <c r="AH60" s="78">
        <v>6.28E-3</v>
      </c>
      <c r="AI60" s="9"/>
    </row>
    <row r="61" spans="1:35" x14ac:dyDescent="0.2">
      <c r="A61" s="9"/>
      <c r="B61" s="301">
        <v>1981</v>
      </c>
      <c r="C61" s="302" t="s">
        <v>508</v>
      </c>
      <c r="D61" s="303">
        <f>(S61-V61)/(Q61-V61-Y61+AC61)</f>
        <v>0.25170068027210885</v>
      </c>
      <c r="E61" s="303">
        <f>Z61/P61</f>
        <v>0.23459715639810427</v>
      </c>
      <c r="F61" s="303">
        <f>(T61+U61+V61)/S61</f>
        <v>0.28000000000000003</v>
      </c>
      <c r="G61" s="303">
        <f>(Z61+R61)/P61</f>
        <v>0.29383886255924169</v>
      </c>
      <c r="H61" s="303">
        <f>(Z61/Q61)+((S61+X61+AA61)/(Q61+X61+AA61+AC61))</f>
        <v>0.52693481551326271</v>
      </c>
      <c r="I61" s="314">
        <f>V61/Z61</f>
        <v>1.0101010101010102E-2</v>
      </c>
      <c r="J61" s="303">
        <f>(AB61+AC61)/Z61</f>
        <v>2.0202020202020204E-2</v>
      </c>
      <c r="K61" s="303">
        <f>Y61/P61</f>
        <v>0.2109004739336493</v>
      </c>
      <c r="L61" s="303">
        <f>(X61+AA61)/P61</f>
        <v>9.004739336492891E-2</v>
      </c>
      <c r="M61" s="304">
        <f>(1-D61*0.7635+1-E61*0.7562+1-F61*0.75+1-G61*0.7248+1-H61*0.7021+1-I61*0.6285+J61*0.5884+K61*0.5276+1-L61*0.3663)/11.068</f>
        <v>0.53499403081725716</v>
      </c>
      <c r="N61" s="308">
        <f>M61/0.5043*100</f>
        <v>106.08646258521857</v>
      </c>
      <c r="O61" s="307">
        <f>(N61-100)/100*P61*0.6611</f>
        <v>16.980268951671345</v>
      </c>
      <c r="P61" s="300">
        <v>422</v>
      </c>
      <c r="Q61" s="300">
        <f>P61-X61-AA61-AB61-AC61</f>
        <v>382</v>
      </c>
      <c r="R61" s="300">
        <v>25</v>
      </c>
      <c r="S61" s="300">
        <v>75</v>
      </c>
      <c r="T61" s="300">
        <v>19</v>
      </c>
      <c r="U61" s="300">
        <v>1</v>
      </c>
      <c r="V61" s="300">
        <v>1</v>
      </c>
      <c r="W61" s="300" t="s">
        <v>19</v>
      </c>
      <c r="X61" s="300">
        <v>38</v>
      </c>
      <c r="Y61" s="300">
        <v>89</v>
      </c>
      <c r="Z61" s="300">
        <f>S61+T61+U61*2+V61*3</f>
        <v>99</v>
      </c>
      <c r="AA61" s="300">
        <v>0</v>
      </c>
      <c r="AB61" s="300">
        <v>0</v>
      </c>
      <c r="AC61" s="300">
        <v>2</v>
      </c>
      <c r="AD61" s="9"/>
      <c r="AE61" s="6">
        <v>1962</v>
      </c>
      <c r="AF61" s="85">
        <v>0.50554010861169763</v>
      </c>
      <c r="AG61" s="86">
        <v>0.49657584994690301</v>
      </c>
      <c r="AH61" s="78">
        <v>6.79E-3</v>
      </c>
      <c r="AI61" s="9"/>
    </row>
    <row r="62" spans="1:35" x14ac:dyDescent="0.2">
      <c r="A62" s="9"/>
      <c r="B62" s="298">
        <v>1966</v>
      </c>
      <c r="C62" s="299" t="s">
        <v>590</v>
      </c>
      <c r="D62" s="292">
        <f>(S62-V62)/(Q62-V62-Y62+AC62)</f>
        <v>0.30991735537190085</v>
      </c>
      <c r="E62" s="292">
        <f>Z62/P62</f>
        <v>0.40783744557329465</v>
      </c>
      <c r="F62" s="292">
        <f>(T62+U62+V62)/S62</f>
        <v>0.33139534883720928</v>
      </c>
      <c r="G62" s="292">
        <f>(Z62+W62)/P62</f>
        <v>0.53265602322206096</v>
      </c>
      <c r="H62" s="292">
        <f>(Z62/Q62)+((S62+X62+AA62)/(Q62+X62+AA62+AC62))</f>
        <v>0.77276425031842988</v>
      </c>
      <c r="I62" s="292">
        <f>V62/Z62</f>
        <v>7.8291814946619215E-2</v>
      </c>
      <c r="J62" s="292">
        <f>(AB62+AC62)/Z62</f>
        <v>3.2028469750889681E-2</v>
      </c>
      <c r="K62" s="292">
        <f>Y62/P62</f>
        <v>0.18432510885341075</v>
      </c>
      <c r="L62" s="292">
        <f>(X62+AA62)/P62</f>
        <v>7.4020319303338175E-2</v>
      </c>
      <c r="M62" s="293">
        <f>(D62*0.7635+E62*0.7562+F62*0.75+G62*0.7248+H62*0.7021+I62*0.6285+1-J62*0.5884+1-K62*0.5276+L62*0.3663)/6.931</f>
        <v>0.53129801243674479</v>
      </c>
      <c r="N62" s="294">
        <f>M62/0.4957*100</f>
        <v>107.18136220228864</v>
      </c>
      <c r="O62" s="286">
        <f>(N62-100)/100*P62*0.3389</f>
        <v>16.768631550950218</v>
      </c>
      <c r="P62" s="300">
        <v>689</v>
      </c>
      <c r="Q62" s="300">
        <f>P62-X62-AA62-AB62-AC62</f>
        <v>629</v>
      </c>
      <c r="R62" s="300" t="s">
        <v>19</v>
      </c>
      <c r="S62" s="300">
        <v>172</v>
      </c>
      <c r="T62" s="300">
        <v>27</v>
      </c>
      <c r="U62" s="300">
        <v>8</v>
      </c>
      <c r="V62" s="300">
        <v>22</v>
      </c>
      <c r="W62" s="300">
        <v>86</v>
      </c>
      <c r="X62" s="300">
        <v>41</v>
      </c>
      <c r="Y62" s="300">
        <v>127</v>
      </c>
      <c r="Z62" s="300">
        <f>S62+T62+U62*2+V62*3</f>
        <v>281</v>
      </c>
      <c r="AA62" s="300">
        <v>10</v>
      </c>
      <c r="AB62" s="300">
        <v>5</v>
      </c>
      <c r="AC62" s="300">
        <v>4</v>
      </c>
      <c r="AD62" s="9"/>
      <c r="AE62" s="6">
        <v>1961</v>
      </c>
      <c r="AF62" s="85">
        <v>0.50873212781533794</v>
      </c>
      <c r="AG62" s="86">
        <v>0.49457694453486561</v>
      </c>
      <c r="AH62" s="78">
        <v>6.94E-3</v>
      </c>
      <c r="AI62" s="9"/>
    </row>
    <row r="63" spans="1:35" x14ac:dyDescent="0.2">
      <c r="A63" s="9"/>
      <c r="B63" s="298">
        <v>1951</v>
      </c>
      <c r="C63" s="299" t="s">
        <v>144</v>
      </c>
      <c r="D63" s="292">
        <f>(S63-V63)/(Q63-V63-Y63+AC63)</f>
        <v>0.27864583333333331</v>
      </c>
      <c r="E63" s="292">
        <f>Z63/P63</f>
        <v>0.41793893129770993</v>
      </c>
      <c r="F63" s="292">
        <f>(T63+U63+V63)/S63</f>
        <v>0.37007874015748032</v>
      </c>
      <c r="G63" s="292">
        <f>(Z63+W63)/P63</f>
        <v>0.54770992366412219</v>
      </c>
      <c r="H63" s="292">
        <f>(Z63/Q63)+((S63+X63+AA63)/(Q63+X63+AA63+AC63))</f>
        <v>0.83172749189458806</v>
      </c>
      <c r="I63" s="292">
        <f>V63/Z63</f>
        <v>9.1324200913242004E-2</v>
      </c>
      <c r="J63" s="292">
        <f>(AB63+AC63)/Z63</f>
        <v>2.2831050228310501E-2</v>
      </c>
      <c r="K63" s="292">
        <f>Y63/P63</f>
        <v>0.11450381679389313</v>
      </c>
      <c r="L63" s="292">
        <f>(X63+AA63)/P63</f>
        <v>0.11259541984732824</v>
      </c>
      <c r="M63" s="293">
        <f>(D63*0.7635+E63*0.7562+F63*0.75+G63*0.7248+H63*0.7021+I63*0.6285+1-J63*0.5884+1-K63*0.5276+L63*0.3663)/6.931</f>
        <v>0.55000455234679513</v>
      </c>
      <c r="N63" s="294">
        <f>M63/0.504*100</f>
        <v>109.12788737039585</v>
      </c>
      <c r="O63" s="286">
        <f>(N63-100)/100*P63*0.3389</f>
        <v>16.20963099629429</v>
      </c>
      <c r="P63" s="300">
        <v>524</v>
      </c>
      <c r="Q63" s="311">
        <f>P63-X63-AA63-AB63-AC63</f>
        <v>460</v>
      </c>
      <c r="R63" s="300" t="s">
        <v>19</v>
      </c>
      <c r="S63" s="300">
        <v>127</v>
      </c>
      <c r="T63" s="300">
        <v>22</v>
      </c>
      <c r="U63" s="300">
        <v>5</v>
      </c>
      <c r="V63" s="300">
        <v>20</v>
      </c>
      <c r="W63" s="300">
        <v>68</v>
      </c>
      <c r="X63" s="300">
        <v>57</v>
      </c>
      <c r="Y63" s="300">
        <v>60</v>
      </c>
      <c r="Z63" s="300">
        <f>S63+T63+U63*2+V63*3</f>
        <v>219</v>
      </c>
      <c r="AA63" s="300">
        <v>2</v>
      </c>
      <c r="AB63" s="300">
        <v>1</v>
      </c>
      <c r="AC63" s="311">
        <v>4</v>
      </c>
      <c r="AD63" s="9"/>
      <c r="AE63" s="6">
        <v>1960</v>
      </c>
      <c r="AF63" s="85">
        <v>0.50264650884908413</v>
      </c>
      <c r="AG63" s="86">
        <v>0.49838787921638944</v>
      </c>
      <c r="AH63" s="78">
        <v>7.3000000000000001E-3</v>
      </c>
      <c r="AI63" s="9"/>
    </row>
    <row r="64" spans="1:35" x14ac:dyDescent="0.2">
      <c r="A64" s="9"/>
      <c r="B64" s="298">
        <v>2005</v>
      </c>
      <c r="C64" s="299" t="s">
        <v>353</v>
      </c>
      <c r="D64" s="292">
        <f>(S64-V64)/(Q64-V64-Y64+AC64)</f>
        <v>0.35416666666666669</v>
      </c>
      <c r="E64" s="292">
        <f>Z64/P64</f>
        <v>0.50862068965517238</v>
      </c>
      <c r="F64" s="292">
        <f>(T64+U64+V64)/S64</f>
        <v>0.45555555555555555</v>
      </c>
      <c r="G64" s="292">
        <f>(Z64+W64)/P64</f>
        <v>0.68965517241379315</v>
      </c>
      <c r="H64" s="292">
        <f>(Z64/Q64)+((S64+X64+AA64)/(Q64+X64+AA64+AC64))</f>
        <v>0.92362953138815207</v>
      </c>
      <c r="I64" s="292">
        <f>V64/Z64</f>
        <v>0.12429378531073447</v>
      </c>
      <c r="J64" s="292">
        <f>(AB64+AC64)/Z64</f>
        <v>1.1299435028248588E-2</v>
      </c>
      <c r="K64" s="292">
        <f>Y64/P64</f>
        <v>0.28735632183908044</v>
      </c>
      <c r="L64" s="292">
        <f>(X64+AA64)/P64</f>
        <v>9.7701149425287362E-2</v>
      </c>
      <c r="M64" s="293">
        <f>(D64*0.7635+E64*0.7562+F64*0.75+G64*0.7248+H64*0.7021+I64*0.6285+1-J64*0.5884+1-K64*0.5276+L64*0.3663)/6.931</f>
        <v>0.59164377972390791</v>
      </c>
      <c r="N64" s="294">
        <f>M64/0.5204*100</f>
        <v>113.69019595002075</v>
      </c>
      <c r="O64" s="286">
        <f>(N64-100)/100*P64*0.3389</f>
        <v>16.145833777967873</v>
      </c>
      <c r="P64" s="300">
        <v>348</v>
      </c>
      <c r="Q64" s="300">
        <f>P64-X64-AA64-AB64-AC64</f>
        <v>312</v>
      </c>
      <c r="R64" s="300" t="s">
        <v>19</v>
      </c>
      <c r="S64" s="300">
        <v>90</v>
      </c>
      <c r="T64" s="300">
        <v>17</v>
      </c>
      <c r="U64" s="300">
        <v>2</v>
      </c>
      <c r="V64" s="300">
        <v>22</v>
      </c>
      <c r="W64" s="300">
        <v>63</v>
      </c>
      <c r="X64" s="300">
        <v>33</v>
      </c>
      <c r="Y64" s="300">
        <v>100</v>
      </c>
      <c r="Z64" s="300">
        <f>S64+T64+U64*2+V64*3</f>
        <v>177</v>
      </c>
      <c r="AA64" s="300">
        <v>1</v>
      </c>
      <c r="AB64" s="300">
        <v>0</v>
      </c>
      <c r="AC64" s="300">
        <v>2</v>
      </c>
      <c r="AD64" s="9"/>
      <c r="AE64" s="6">
        <v>1959</v>
      </c>
      <c r="AF64" s="85">
        <v>0.50533079749134679</v>
      </c>
      <c r="AG64" s="86">
        <v>0.49670692470071154</v>
      </c>
      <c r="AH64" s="78">
        <v>6.4999999999999997E-3</v>
      </c>
      <c r="AI64" s="9"/>
    </row>
    <row r="65" spans="1:35" x14ac:dyDescent="0.2">
      <c r="A65" s="9"/>
      <c r="B65" s="298">
        <v>1986</v>
      </c>
      <c r="C65" s="299" t="s">
        <v>365</v>
      </c>
      <c r="D65" s="292">
        <f>(S65-V65)/(Q65-V65-Y65+AC65)</f>
        <v>0.27680798004987534</v>
      </c>
      <c r="E65" s="292">
        <f>Z65/P65</f>
        <v>0.40175953079178883</v>
      </c>
      <c r="F65" s="292">
        <f>(T65+U65+V65)/S65</f>
        <v>0.4375</v>
      </c>
      <c r="G65" s="292">
        <f>(Z65+W65)/P65</f>
        <v>0.57331378299120239</v>
      </c>
      <c r="H65" s="292">
        <f>(Z65/Q65)+((S65+X65+AA65)/(Q65+X65+AA65+AC65))</f>
        <v>0.7748484848484849</v>
      </c>
      <c r="I65" s="292">
        <f>V65/Z65</f>
        <v>0.12043795620437957</v>
      </c>
      <c r="J65" s="292">
        <f>(AB65+AC65)/Z65</f>
        <v>3.2846715328467155E-2</v>
      </c>
      <c r="K65" s="292">
        <f>Y65/P65</f>
        <v>0.25659824046920821</v>
      </c>
      <c r="L65" s="292">
        <f>(X65+AA65)/P65</f>
        <v>0.10703812316715543</v>
      </c>
      <c r="M65" s="293">
        <f>(D65*0.7635+E65*0.7562+F65*0.75+G65*0.7248+H65*0.7021+I65*0.6285+1-J65*0.5884+1-K65*0.5276+L65*0.3663)/6.931</f>
        <v>0.54292778561487987</v>
      </c>
      <c r="N65" s="294">
        <f>M65/0.5076*100</f>
        <v>106.95976863965325</v>
      </c>
      <c r="O65" s="286">
        <f>(N65-100)/100*P65*0.3389</f>
        <v>16.08609933729327</v>
      </c>
      <c r="P65" s="300">
        <v>682</v>
      </c>
      <c r="Q65" s="300">
        <f>P65-X65-AA65-AB65-AC65</f>
        <v>600</v>
      </c>
      <c r="R65" s="300" t="s">
        <v>19</v>
      </c>
      <c r="S65" s="300">
        <v>144</v>
      </c>
      <c r="T65" s="300">
        <v>29</v>
      </c>
      <c r="U65" s="300">
        <v>1</v>
      </c>
      <c r="V65" s="300">
        <v>33</v>
      </c>
      <c r="W65" s="300">
        <v>117</v>
      </c>
      <c r="X65" s="300">
        <v>65</v>
      </c>
      <c r="Y65" s="300">
        <v>175</v>
      </c>
      <c r="Z65" s="300">
        <f>S65+T65+U65*2+V65*3</f>
        <v>274</v>
      </c>
      <c r="AA65" s="300">
        <v>8</v>
      </c>
      <c r="AB65" s="300">
        <v>0</v>
      </c>
      <c r="AC65" s="300">
        <v>9</v>
      </c>
      <c r="AD65" s="9"/>
      <c r="AE65" s="6">
        <v>1958</v>
      </c>
      <c r="AF65" s="85">
        <v>0.50615815645164663</v>
      </c>
      <c r="AG65" s="86">
        <v>0.49618881619385957</v>
      </c>
      <c r="AH65" s="78">
        <v>6.8399999999999997E-3</v>
      </c>
      <c r="AI65" s="9"/>
    </row>
    <row r="66" spans="1:35" x14ac:dyDescent="0.2">
      <c r="A66" s="9"/>
      <c r="B66" s="298">
        <v>2015</v>
      </c>
      <c r="C66" s="299" t="s">
        <v>524</v>
      </c>
      <c r="D66" s="292">
        <f>(S66-V66)/(Q66-V66-Y66+AC66)</f>
        <v>0.29553264604810997</v>
      </c>
      <c r="E66" s="292">
        <f>Z66/P66</f>
        <v>0.45833333333333331</v>
      </c>
      <c r="F66" s="292">
        <f>(T66+U66+V66)/S66</f>
        <v>0.41666666666666669</v>
      </c>
      <c r="G66" s="292">
        <f>(Z66+W66)/P66</f>
        <v>0.6157407407407407</v>
      </c>
      <c r="H66" s="292">
        <f>(Z66/Q66)+((S66+X66+AA66)/(Q66+X66+AA66+AC66))</f>
        <v>0.85653531438415165</v>
      </c>
      <c r="I66" s="292">
        <f>V66/Z66</f>
        <v>0.1111111111111111</v>
      </c>
      <c r="J66" s="292">
        <f>(AB66+AC66)/Z66</f>
        <v>2.0202020202020204E-2</v>
      </c>
      <c r="K66" s="292">
        <f>Y66/P66</f>
        <v>0.18055555555555555</v>
      </c>
      <c r="L66" s="292">
        <f>(X66+AA66)/P66</f>
        <v>9.4907407407407413E-2</v>
      </c>
      <c r="M66" s="293">
        <f>(D66*0.7635+E66*0.7562+F66*0.75+G66*0.7248+H66*0.7021+I66*0.6285+1-J66*0.5884+1-K66*0.5276+L66*0.3663)/6.931</f>
        <v>0.56699511064941377</v>
      </c>
      <c r="N66" s="294">
        <f>M66/0.5124*100</f>
        <v>110.65478349910495</v>
      </c>
      <c r="O66" s="286">
        <f>(N66-100)/100*P66*0.3389</f>
        <v>15.599114472297606</v>
      </c>
      <c r="P66" s="300">
        <v>432</v>
      </c>
      <c r="Q66" s="300">
        <f>P66-X66-AA66-AB66-AC66</f>
        <v>387</v>
      </c>
      <c r="R66" s="300" t="s">
        <v>19</v>
      </c>
      <c r="S66" s="300">
        <v>108</v>
      </c>
      <c r="T66" s="300">
        <v>22</v>
      </c>
      <c r="U66" s="300">
        <v>1</v>
      </c>
      <c r="V66" s="300">
        <v>22</v>
      </c>
      <c r="W66" s="300">
        <v>68</v>
      </c>
      <c r="X66" s="300">
        <v>40</v>
      </c>
      <c r="Y66" s="300">
        <v>78</v>
      </c>
      <c r="Z66" s="300">
        <f>S66+T66+U66*2+V66*3</f>
        <v>198</v>
      </c>
      <c r="AA66" s="300">
        <v>1</v>
      </c>
      <c r="AB66" s="300">
        <v>0</v>
      </c>
      <c r="AC66" s="300">
        <v>4</v>
      </c>
      <c r="AD66" s="9"/>
      <c r="AE66" s="6">
        <v>1957</v>
      </c>
      <c r="AF66" s="85">
        <v>0.50438378455612631</v>
      </c>
      <c r="AG66" s="86">
        <v>0.49729996288773848</v>
      </c>
      <c r="AH66" s="78">
        <v>7.1999999999999998E-3</v>
      </c>
      <c r="AI66" s="9"/>
    </row>
    <row r="67" spans="1:35" x14ac:dyDescent="0.2">
      <c r="A67" s="9"/>
      <c r="B67" s="301">
        <v>1976</v>
      </c>
      <c r="C67" s="302" t="s">
        <v>578</v>
      </c>
      <c r="D67" s="303">
        <f>(S67-V67)/(Q67-V67-Y67+AC67)</f>
        <v>0.27</v>
      </c>
      <c r="E67" s="303">
        <f>Z67/P67</f>
        <v>0.27672209026128264</v>
      </c>
      <c r="F67" s="303">
        <f>(T67+U67+V67)/S67</f>
        <v>0.2411764705882353</v>
      </c>
      <c r="G67" s="303">
        <f>(Z67+R67)/P67</f>
        <v>0.35985748218527314</v>
      </c>
      <c r="H67" s="303">
        <f>(Z67/Q67)+((S67+X67+AA67)/(Q67+X67+AA67+AC67))</f>
        <v>0.61777560129732501</v>
      </c>
      <c r="I67" s="303">
        <f>V67/Z67</f>
        <v>3.4334763948497854E-2</v>
      </c>
      <c r="J67" s="303">
        <f>(AB67+AC67)/Z67</f>
        <v>5.1502145922746781E-2</v>
      </c>
      <c r="K67" s="303">
        <f>Y67/P67</f>
        <v>0.16983372921615203</v>
      </c>
      <c r="L67" s="303">
        <f>(X67+AA67)/P67</f>
        <v>0.10095011876484561</v>
      </c>
      <c r="M67" s="304">
        <f>(1-D67*0.7635+1-E67*0.7562+1-F67*0.75+1-G67*0.7248+1-H67*0.7021+1-I67*0.6285+J67*0.5884+K67*0.5276+1-L67*0.3663)/11.068</f>
        <v>0.52136801230526719</v>
      </c>
      <c r="N67" s="308">
        <f>M67/0.5072*100</f>
        <v>102.79337782043912</v>
      </c>
      <c r="O67" s="307">
        <f>(N67-100)/100*P67*0.6611</f>
        <v>15.549231489117179</v>
      </c>
      <c r="P67" s="300">
        <v>842</v>
      </c>
      <c r="Q67" s="300">
        <f>P67-X67-AA67-AB67-AC67</f>
        <v>745</v>
      </c>
      <c r="R67" s="300">
        <v>70</v>
      </c>
      <c r="S67" s="300">
        <v>170</v>
      </c>
      <c r="T67" s="300">
        <v>27</v>
      </c>
      <c r="U67" s="300">
        <v>6</v>
      </c>
      <c r="V67" s="300">
        <v>8</v>
      </c>
      <c r="W67" s="300" t="s">
        <v>19</v>
      </c>
      <c r="X67" s="300">
        <v>83</v>
      </c>
      <c r="Y67" s="300">
        <v>143</v>
      </c>
      <c r="Z67" s="300">
        <f>S67+T67+U67*2+V67*3</f>
        <v>233</v>
      </c>
      <c r="AA67" s="300">
        <v>2</v>
      </c>
      <c r="AB67" s="300">
        <v>6</v>
      </c>
      <c r="AC67" s="300">
        <v>6</v>
      </c>
      <c r="AD67" s="9"/>
      <c r="AE67" s="6">
        <v>1956</v>
      </c>
      <c r="AF67" s="85">
        <v>0.50786400474976801</v>
      </c>
      <c r="AG67" s="86">
        <v>0.49512058032881812</v>
      </c>
      <c r="AH67" s="78">
        <v>6.7600000000000004E-3</v>
      </c>
      <c r="AI67" s="9"/>
    </row>
    <row r="68" spans="1:35" x14ac:dyDescent="0.2">
      <c r="A68" s="9"/>
      <c r="B68" s="298">
        <v>2010</v>
      </c>
      <c r="C68" s="299" t="s">
        <v>343</v>
      </c>
      <c r="D68" s="292">
        <f>(S68-V68)/(Q68-V68-Y68+AC68)</f>
        <v>0.31547619047619047</v>
      </c>
      <c r="E68" s="292">
        <f>Z68/P68</f>
        <v>0.46275395033860045</v>
      </c>
      <c r="F68" s="292">
        <f>(T68+U68+V68)/S68</f>
        <v>0.34677419354838712</v>
      </c>
      <c r="G68" s="292">
        <f>(Z68+W68)/P68</f>
        <v>0.61399548532731374</v>
      </c>
      <c r="H68" s="292">
        <f>(Z68/Q68)+((S68+X68+AA68)/(Q68+X68+AA68+AC68))</f>
        <v>0.86158525058657387</v>
      </c>
      <c r="I68" s="292">
        <f>V68/Z68</f>
        <v>8.7804878048780483E-2</v>
      </c>
      <c r="J68" s="292">
        <f>(AB68+AC68)/Z68</f>
        <v>1.4634146341463415E-2</v>
      </c>
      <c r="K68" s="292">
        <f>Y68/P68</f>
        <v>0.12415349887133183</v>
      </c>
      <c r="L68" s="292">
        <f>(X68+AA68)/P68</f>
        <v>7.6749435665914217E-2</v>
      </c>
      <c r="M68" s="293">
        <f>(D68*0.7635+E68*0.7562+F68*0.75+G68*0.7248+H68*0.7021+I68*0.6285+1-J68*0.5884+1-K68*0.5276+L68*0.3663)/6.931</f>
        <v>0.56413342266112154</v>
      </c>
      <c r="N68" s="294">
        <f>M68/0.5122*100</f>
        <v>110.13928595492418</v>
      </c>
      <c r="O68" s="286">
        <f>(N68-100)/100*P68*0.3389</f>
        <v>15.222383764848447</v>
      </c>
      <c r="P68" s="300">
        <v>443</v>
      </c>
      <c r="Q68" s="300">
        <f>P68-X68-AA68-AB68-AC68</f>
        <v>406</v>
      </c>
      <c r="R68" s="300" t="s">
        <v>19</v>
      </c>
      <c r="S68" s="300">
        <v>124</v>
      </c>
      <c r="T68" s="300">
        <v>23</v>
      </c>
      <c r="U68" s="300">
        <v>2</v>
      </c>
      <c r="V68" s="300">
        <v>18</v>
      </c>
      <c r="W68" s="300">
        <v>67</v>
      </c>
      <c r="X68" s="300">
        <v>30</v>
      </c>
      <c r="Y68" s="300">
        <v>55</v>
      </c>
      <c r="Z68" s="300">
        <f>S68+T68+U68*2+V68*3</f>
        <v>205</v>
      </c>
      <c r="AA68" s="300">
        <v>4</v>
      </c>
      <c r="AB68" s="300">
        <v>0</v>
      </c>
      <c r="AC68" s="300">
        <v>3</v>
      </c>
      <c r="AD68" s="9"/>
      <c r="AE68" s="6">
        <v>1955</v>
      </c>
      <c r="AF68" s="85">
        <v>0.50637007769148157</v>
      </c>
      <c r="AG68" s="86">
        <v>0.49605610693172575</v>
      </c>
      <c r="AH68" s="78">
        <v>7.3400000000000002E-3</v>
      </c>
      <c r="AI68" s="9"/>
    </row>
    <row r="69" spans="1:35" x14ac:dyDescent="0.2">
      <c r="A69" s="9"/>
      <c r="B69" s="298">
        <v>1977</v>
      </c>
      <c r="C69" s="299" t="s">
        <v>76</v>
      </c>
      <c r="D69" s="292">
        <f>(S69-V69)/(Q69-V69-Y69+AC69)</f>
        <v>0.30041152263374488</v>
      </c>
      <c r="E69" s="292">
        <f>Z69/P69</f>
        <v>0.43093093093093093</v>
      </c>
      <c r="F69" s="292">
        <f>(T69+U69+V69)/S69</f>
        <v>0.33526011560693642</v>
      </c>
      <c r="G69" s="292">
        <f>(Z69+W69)/P69</f>
        <v>0.56306306306306309</v>
      </c>
      <c r="H69" s="292">
        <f>(Z69/Q69)+((S69+X69+AA69)/(Q69+X69+AA69+AC69))</f>
        <v>0.80305510092744137</v>
      </c>
      <c r="I69" s="292">
        <f>V69/Z69</f>
        <v>9.4076655052264813E-2</v>
      </c>
      <c r="J69" s="292">
        <f>(AB69+AC69)/Z69</f>
        <v>2.0905923344947737E-2</v>
      </c>
      <c r="K69" s="292">
        <f>Y69/P69</f>
        <v>0.15615615615615616</v>
      </c>
      <c r="L69" s="292">
        <f>(X69+AA69)/P69</f>
        <v>7.3573573573573567E-2</v>
      </c>
      <c r="M69" s="293">
        <f>(D69*0.7635+E69*0.7562+F69*0.75+G69*0.7248+H69*0.7021+I69*0.6285+1-J69*0.5884+1-K69*0.5276+L69*0.3663)/6.931</f>
        <v>0.54393312553621331</v>
      </c>
      <c r="N69" s="294">
        <f>M69/0.5098*100</f>
        <v>106.69539535822152</v>
      </c>
      <c r="O69" s="286">
        <f>(N69-100)/100*P69*0.3389</f>
        <v>15.112002782762474</v>
      </c>
      <c r="P69" s="300">
        <v>666</v>
      </c>
      <c r="Q69" s="300">
        <f>P69-X69-AA69-AB69-AC69</f>
        <v>611</v>
      </c>
      <c r="R69" s="300" t="s">
        <v>19</v>
      </c>
      <c r="S69" s="300">
        <v>173</v>
      </c>
      <c r="T69" s="300">
        <v>29</v>
      </c>
      <c r="U69" s="300">
        <v>2</v>
      </c>
      <c r="V69" s="300">
        <v>27</v>
      </c>
      <c r="W69" s="300">
        <v>88</v>
      </c>
      <c r="X69" s="300">
        <v>48</v>
      </c>
      <c r="Y69" s="300">
        <v>104</v>
      </c>
      <c r="Z69" s="300">
        <f>S69+T69+U69*2+V69*3</f>
        <v>287</v>
      </c>
      <c r="AA69" s="300">
        <v>1</v>
      </c>
      <c r="AB69" s="300">
        <v>0</v>
      </c>
      <c r="AC69" s="300">
        <v>6</v>
      </c>
      <c r="AD69" s="9"/>
      <c r="AE69" s="6">
        <v>1954</v>
      </c>
      <c r="AF69" s="85">
        <v>0.50396333704975282</v>
      </c>
      <c r="AG69" s="86">
        <v>0.49756325541273611</v>
      </c>
      <c r="AH69" s="78">
        <v>8.3199999999999993E-3</v>
      </c>
      <c r="AI69" s="9"/>
    </row>
    <row r="70" spans="1:35" x14ac:dyDescent="0.2">
      <c r="A70" s="9"/>
      <c r="B70" s="298">
        <v>1951</v>
      </c>
      <c r="C70" s="299" t="s">
        <v>613</v>
      </c>
      <c r="D70" s="292">
        <f>(S70-V70)/(Q70-V70-Y70+AC70)</f>
        <v>0.32634730538922158</v>
      </c>
      <c r="E70" s="292">
        <f>Z70/P70</f>
        <v>0.41437632135306551</v>
      </c>
      <c r="F70" s="292">
        <f>(T70+U70+V70)/S70</f>
        <v>0.33333333333333331</v>
      </c>
      <c r="G70" s="292">
        <f>(Z70+W70)/P70</f>
        <v>0.54756871035940802</v>
      </c>
      <c r="H70" s="292">
        <f>(Z70/Q70)+((S70+X70+AA70)/(Q70+X70+AA70+AC70))</f>
        <v>0.88733196627933464</v>
      </c>
      <c r="I70" s="292">
        <f>V70/Z70</f>
        <v>7.1428571428571425E-2</v>
      </c>
      <c r="J70" s="292">
        <f>(AB70+AC70)/Z70</f>
        <v>7.1428571428571425E-2</v>
      </c>
      <c r="K70" s="292">
        <f>Y70/P70</f>
        <v>0.11416490486257928</v>
      </c>
      <c r="L70" s="292">
        <f>(X70+AA70)/P70</f>
        <v>0.12684989429175475</v>
      </c>
      <c r="M70" s="293">
        <f>(D70*0.7635+E70*0.7562+F70*0.75+G70*0.7248+H70*0.7021+I70*0.6285+1-J70*0.5884+1-K70*0.5276+L70*0.3663)/6.931</f>
        <v>0.55136158055878481</v>
      </c>
      <c r="N70" s="294">
        <f>M70/0.504*100</f>
        <v>109.39713899975889</v>
      </c>
      <c r="O70" s="286">
        <f>(N70-100)/100*P70*0.3389</f>
        <v>15.063585625196508</v>
      </c>
      <c r="P70" s="300">
        <v>473</v>
      </c>
      <c r="Q70" s="311">
        <f>P70-X70-AA70-AB70-AC70</f>
        <v>399</v>
      </c>
      <c r="R70" s="300" t="s">
        <v>19</v>
      </c>
      <c r="S70" s="300">
        <v>123</v>
      </c>
      <c r="T70" s="300">
        <v>23</v>
      </c>
      <c r="U70" s="300">
        <v>4</v>
      </c>
      <c r="V70" s="300">
        <v>14</v>
      </c>
      <c r="W70" s="300">
        <v>63</v>
      </c>
      <c r="X70" s="300">
        <v>56</v>
      </c>
      <c r="Y70" s="300">
        <v>54</v>
      </c>
      <c r="Z70" s="300">
        <f>S70+T70+U70*2+V70*3</f>
        <v>196</v>
      </c>
      <c r="AA70" s="300">
        <v>4</v>
      </c>
      <c r="AB70" s="300">
        <v>11</v>
      </c>
      <c r="AC70" s="311">
        <v>3</v>
      </c>
      <c r="AD70" s="9"/>
      <c r="AE70" s="6">
        <v>1953</v>
      </c>
      <c r="AF70" s="85">
        <v>0.50883146337001872</v>
      </c>
      <c r="AG70" s="86">
        <v>0.49451473865037948</v>
      </c>
      <c r="AH70" s="79">
        <v>7.9299999999999995E-3</v>
      </c>
      <c r="AI70" s="9"/>
    </row>
    <row r="71" spans="1:35" x14ac:dyDescent="0.2">
      <c r="A71" s="9"/>
      <c r="B71" s="301">
        <v>2014</v>
      </c>
      <c r="C71" s="302" t="s">
        <v>416</v>
      </c>
      <c r="D71" s="303">
        <f>(S71-V71)/(Q71-V71-Y71+AC71)</f>
        <v>0.30136986301369861</v>
      </c>
      <c r="E71" s="303">
        <f>Z71/P71</f>
        <v>0.29557522123893804</v>
      </c>
      <c r="F71" s="303">
        <f>(T71+U71+V71)/S71</f>
        <v>0.29059829059829062</v>
      </c>
      <c r="G71" s="303">
        <f>(Z71+R71)/P71</f>
        <v>0.3734513274336283</v>
      </c>
      <c r="H71" s="303">
        <f>(Z71/Q71)+((S71+X71+AA71)/(Q71+X71+AA71+AC71))</f>
        <v>0.61303606237816766</v>
      </c>
      <c r="I71" s="303">
        <f>V71/Z71</f>
        <v>4.1916167664670656E-2</v>
      </c>
      <c r="J71" s="303">
        <f>(AB71+AC71)/Z71</f>
        <v>4.790419161676647E-2</v>
      </c>
      <c r="K71" s="303">
        <f>Y71/P71</f>
        <v>0.25486725663716814</v>
      </c>
      <c r="L71" s="303">
        <f>(X71+AA71)/P71</f>
        <v>7.7876106194690264E-2</v>
      </c>
      <c r="M71" s="304">
        <f>(1-D71*0.7635+1-E71*0.7562+1-F71*0.75+1-G71*0.7248+1-H71*0.7021+1-I71*0.6285+J71*0.5884+K71*0.5276+1-L71*0.3663)/11.068</f>
        <v>0.51817272584862184</v>
      </c>
      <c r="N71" s="308">
        <f>M71/0.4981*100</f>
        <v>104.02985863252798</v>
      </c>
      <c r="O71" s="307">
        <f>(N71-100)/100*P71*0.6611</f>
        <v>15.052388412097983</v>
      </c>
      <c r="P71" s="300">
        <v>565</v>
      </c>
      <c r="Q71" s="300">
        <f>P71-X71-AA71-AB71-AC71</f>
        <v>513</v>
      </c>
      <c r="R71" s="300">
        <v>44</v>
      </c>
      <c r="S71" s="300">
        <v>117</v>
      </c>
      <c r="T71" s="300">
        <v>25</v>
      </c>
      <c r="U71" s="300">
        <v>2</v>
      </c>
      <c r="V71" s="300">
        <v>7</v>
      </c>
      <c r="W71" s="300" t="s">
        <v>19</v>
      </c>
      <c r="X71" s="300">
        <v>43</v>
      </c>
      <c r="Y71" s="300">
        <v>144</v>
      </c>
      <c r="Z71" s="300">
        <f>S71+T71+U71*2+V71*3</f>
        <v>167</v>
      </c>
      <c r="AA71" s="300">
        <v>1</v>
      </c>
      <c r="AB71" s="300">
        <v>5</v>
      </c>
      <c r="AC71" s="300">
        <v>3</v>
      </c>
      <c r="AD71" s="9"/>
      <c r="AE71" s="6">
        <v>1952</v>
      </c>
      <c r="AF71" s="85">
        <v>0.49444013477391269</v>
      </c>
      <c r="AG71" s="86">
        <v>0.5035268725950498</v>
      </c>
      <c r="AH71" s="79">
        <v>8.26E-3</v>
      </c>
      <c r="AI71" s="9"/>
    </row>
    <row r="72" spans="1:35" x14ac:dyDescent="0.2">
      <c r="A72" s="9"/>
      <c r="B72" s="298">
        <v>1973</v>
      </c>
      <c r="C72" s="299" t="s">
        <v>582</v>
      </c>
      <c r="D72" s="292">
        <f>(S72-V72)/(Q72-V72-Y72+AC72)</f>
        <v>0.37541528239202659</v>
      </c>
      <c r="E72" s="292">
        <f>Z72/P72</f>
        <v>0.45063291139240508</v>
      </c>
      <c r="F72" s="292">
        <f>(T72+U72+V72)/S72</f>
        <v>0.27500000000000002</v>
      </c>
      <c r="G72" s="292">
        <f>(Z72+W72)/P72</f>
        <v>0.53670886075949364</v>
      </c>
      <c r="H72" s="292">
        <f>(Z72/Q72)+((S72+X72+AA72)/(Q72+X72+AA72+AC72))</f>
        <v>0.89847715736040601</v>
      </c>
      <c r="I72" s="292">
        <f>V72/Z72</f>
        <v>3.9325842696629212E-2</v>
      </c>
      <c r="J72" s="292">
        <f>(AB72+AC72)/Z72</f>
        <v>1.1235955056179775E-2</v>
      </c>
      <c r="K72" s="292">
        <f>Y72/P72</f>
        <v>0.1240506329113924</v>
      </c>
      <c r="L72" s="292">
        <f>(X72+AA72)/P72</f>
        <v>9.3670886075949367E-2</v>
      </c>
      <c r="M72" s="293">
        <f>(D72*0.7635+E72*0.7562+F72*0.75+G72*0.7248+H72*0.7021+I72*0.6285+1-J72*0.5884+1-K72*0.5276+L72*0.3663)/6.931</f>
        <v>0.55409654566264832</v>
      </c>
      <c r="N72" s="294">
        <f>M72/0.4983*100</f>
        <v>111.19738022529566</v>
      </c>
      <c r="O72" s="286">
        <f>(N72-100)/100*P72*0.3389</f>
        <v>14.989429025493159</v>
      </c>
      <c r="P72" s="300">
        <v>395</v>
      </c>
      <c r="Q72" s="300">
        <f>P72-X72-AA72-AB72-AC72</f>
        <v>356</v>
      </c>
      <c r="R72" s="300" t="s">
        <v>19</v>
      </c>
      <c r="S72" s="300">
        <v>120</v>
      </c>
      <c r="T72" s="300">
        <v>15</v>
      </c>
      <c r="U72" s="300">
        <v>11</v>
      </c>
      <c r="V72" s="300">
        <v>7</v>
      </c>
      <c r="W72" s="300">
        <v>34</v>
      </c>
      <c r="X72" s="300">
        <v>34</v>
      </c>
      <c r="Y72" s="300">
        <v>49</v>
      </c>
      <c r="Z72" s="300">
        <f>S72+T72+U72*2+V72*3</f>
        <v>178</v>
      </c>
      <c r="AA72" s="300">
        <v>3</v>
      </c>
      <c r="AB72" s="300">
        <v>1</v>
      </c>
      <c r="AC72" s="300">
        <v>1</v>
      </c>
      <c r="AD72" s="9"/>
      <c r="AE72" s="6">
        <v>1951</v>
      </c>
      <c r="AF72" s="85">
        <v>0.50404063790019482</v>
      </c>
      <c r="AG72" s="86">
        <v>0.49751484809484542</v>
      </c>
      <c r="AH72" s="79">
        <v>7.1799999999999998E-3</v>
      </c>
      <c r="AI72" s="9"/>
    </row>
    <row r="73" spans="1:35" x14ac:dyDescent="0.2">
      <c r="A73" s="9"/>
      <c r="B73" s="301">
        <v>2016</v>
      </c>
      <c r="C73" s="302" t="s">
        <v>522</v>
      </c>
      <c r="D73" s="303">
        <f>(S73-V73)/(Q73-V73-Y73+AC73)</f>
        <v>0.27027027027027029</v>
      </c>
      <c r="E73" s="303">
        <f>Z73/P73</f>
        <v>0.32921174652241114</v>
      </c>
      <c r="F73" s="303">
        <f>(T73+U73+V73)/S73</f>
        <v>0.3235294117647059</v>
      </c>
      <c r="G73" s="303">
        <f>(Z73+R73)/P73</f>
        <v>0.41731066460587324</v>
      </c>
      <c r="H73" s="303">
        <f>(Z73/Q73)+((S73+X73+AA73)/(Q73+X73+AA73+AC73))</f>
        <v>0.65184121042781462</v>
      </c>
      <c r="I73" s="303">
        <f>V73/Z73</f>
        <v>7.5117370892018781E-2</v>
      </c>
      <c r="J73" s="303">
        <f>(AB73+AC73)/Z73</f>
        <v>2.8169014084507043E-2</v>
      </c>
      <c r="K73" s="303">
        <f>Y73/P73</f>
        <v>0.20401854714064915</v>
      </c>
      <c r="L73" s="303">
        <f>(X73+AA73)/P73</f>
        <v>7.8825347758887165E-2</v>
      </c>
      <c r="M73" s="304">
        <f>(1-D73*0.7635+1-E73*0.7562+1-F73*0.75+1-G73*0.7248+1-H73*0.7021+1-I73*0.6285+J73*0.5884+K73*0.5276+1-L73*0.3663)/11.068</f>
        <v>0.50506478355856366</v>
      </c>
      <c r="N73" s="308">
        <f>M73/0.488*100</f>
        <v>103.49688187675486</v>
      </c>
      <c r="O73" s="307">
        <f>(N73-100)/100*P73*0.6611</f>
        <v>14.95727229843545</v>
      </c>
      <c r="P73" s="300">
        <v>647</v>
      </c>
      <c r="Q73" s="300">
        <f>P73-X73-AA73-AB73-AC73</f>
        <v>590</v>
      </c>
      <c r="R73" s="300">
        <v>57</v>
      </c>
      <c r="S73" s="300">
        <v>136</v>
      </c>
      <c r="T73" s="300">
        <v>27</v>
      </c>
      <c r="U73" s="300">
        <v>1</v>
      </c>
      <c r="V73" s="300">
        <v>16</v>
      </c>
      <c r="W73" s="300" t="s">
        <v>19</v>
      </c>
      <c r="X73" s="300">
        <v>42</v>
      </c>
      <c r="Y73" s="300">
        <v>132</v>
      </c>
      <c r="Z73" s="300">
        <f>S73+T73+U73*2+V73*3</f>
        <v>213</v>
      </c>
      <c r="AA73" s="300">
        <v>9</v>
      </c>
      <c r="AB73" s="300">
        <v>4</v>
      </c>
      <c r="AC73" s="300">
        <v>2</v>
      </c>
      <c r="AD73" s="9"/>
      <c r="AE73" s="6">
        <v>1950</v>
      </c>
      <c r="AF73" s="85">
        <v>0.5127650581677905</v>
      </c>
      <c r="AG73" s="86">
        <v>0.49205144396811024</v>
      </c>
      <c r="AH73" s="79">
        <v>6.8700000000000002E-3</v>
      </c>
      <c r="AI73" s="9"/>
    </row>
    <row r="74" spans="1:35" x14ac:dyDescent="0.2">
      <c r="A74" s="9"/>
      <c r="B74" s="298">
        <v>2002</v>
      </c>
      <c r="C74" s="299" t="s">
        <v>538</v>
      </c>
      <c r="D74" s="292">
        <f>(S74-V74)/(Q74-V74-Y74+AC74)</f>
        <v>0.32762836185819072</v>
      </c>
      <c r="E74" s="292">
        <f>Z74/P74</f>
        <v>0.41846153846153844</v>
      </c>
      <c r="F74" s="292">
        <f>(T74+U74+V74)/S74</f>
        <v>0.4050632911392405</v>
      </c>
      <c r="G74" s="292">
        <f>(Z74+W74)/P74</f>
        <v>0.5476923076923077</v>
      </c>
      <c r="H74" s="292">
        <f>(Z74/Q74)+((S74+X74+AA74)/(Q74+X74+AA74+AC74))</f>
        <v>0.84518075564011963</v>
      </c>
      <c r="I74" s="292">
        <f>V74/Z74</f>
        <v>8.8235294117647065E-2</v>
      </c>
      <c r="J74" s="292">
        <f>(AB74+AC74)/Z74</f>
        <v>1.8382352941176471E-2</v>
      </c>
      <c r="K74" s="292">
        <f>Y74/P74</f>
        <v>0.21230769230769231</v>
      </c>
      <c r="L74" s="292">
        <f>(X74+AA74)/P74</f>
        <v>0.12153846153846154</v>
      </c>
      <c r="M74" s="293">
        <f>(D74*0.7635+E74*0.7562+F74*0.75+G74*0.7248+H74*0.7021+I74*0.6285+1-J74*0.5884+1-K74*0.5276+L74*0.3663)/6.931</f>
        <v>0.55372916419714902</v>
      </c>
      <c r="N74" s="294">
        <f>M74/0.5194*100</f>
        <v>106.60938856317847</v>
      </c>
      <c r="O74" s="286">
        <f>(N74-100)/100*P74*0.3389</f>
        <v>14.559491596397692</v>
      </c>
      <c r="P74" s="300">
        <v>650</v>
      </c>
      <c r="Q74" s="300">
        <f>P74-X74-AA74-AB74-AC74</f>
        <v>566</v>
      </c>
      <c r="R74" s="300" t="s">
        <v>19</v>
      </c>
      <c r="S74" s="300">
        <v>158</v>
      </c>
      <c r="T74" s="300">
        <v>38</v>
      </c>
      <c r="U74" s="300">
        <v>2</v>
      </c>
      <c r="V74" s="300">
        <v>24</v>
      </c>
      <c r="W74" s="300">
        <v>84</v>
      </c>
      <c r="X74" s="300">
        <v>77</v>
      </c>
      <c r="Y74" s="300">
        <v>138</v>
      </c>
      <c r="Z74" s="300">
        <f>S74+T74+U74*2+V74*3</f>
        <v>272</v>
      </c>
      <c r="AA74" s="300">
        <v>2</v>
      </c>
      <c r="AB74" s="300">
        <v>0</v>
      </c>
      <c r="AC74" s="300">
        <v>5</v>
      </c>
      <c r="AD74" s="9"/>
      <c r="AE74" s="6">
        <v>1949</v>
      </c>
      <c r="AF74" s="85">
        <v>0.50291978125318548</v>
      </c>
      <c r="AG74" s="86">
        <v>0.49821675064457621</v>
      </c>
      <c r="AH74" s="79">
        <v>8.4700000000000001E-3</v>
      </c>
      <c r="AI74" s="9"/>
    </row>
    <row r="75" spans="1:35" x14ac:dyDescent="0.2">
      <c r="A75" s="9"/>
      <c r="B75" s="301">
        <v>1961</v>
      </c>
      <c r="C75" s="302" t="s">
        <v>598</v>
      </c>
      <c r="D75" s="303">
        <f>(S75-V75)/(Q75-V75-Y75+AC75)</f>
        <v>0.28494623655913981</v>
      </c>
      <c r="E75" s="303">
        <f>Z75/P75</f>
        <v>0.29262086513994912</v>
      </c>
      <c r="F75" s="303">
        <f>(T75+U75+V75)/S75</f>
        <v>0.23353293413173654</v>
      </c>
      <c r="G75" s="303">
        <f>(Z75+R75)/P75</f>
        <v>0.38931297709923662</v>
      </c>
      <c r="H75" s="303">
        <f>(Z75/Q75)+((S75+X75+AA75)/(Q75+X75+AA75+AC75))</f>
        <v>0.71778803739353014</v>
      </c>
      <c r="I75" s="303">
        <f>V75/Z75</f>
        <v>3.4782608695652174E-2</v>
      </c>
      <c r="J75" s="303">
        <f>(AB75+AC75)/Z75</f>
        <v>6.9565217391304349E-2</v>
      </c>
      <c r="K75" s="303">
        <f>Y75/P75</f>
        <v>0.11577608142493638</v>
      </c>
      <c r="L75" s="303">
        <f>(X75+AA75)/P75</f>
        <v>0.1475826972010178</v>
      </c>
      <c r="M75" s="304">
        <f>(1-D75*0.7635+1-E75*0.7562+1-F75*0.75+1-G75*0.7248+1-H75*0.7021+1-I75*0.6285+J75*0.5884+K75*0.5276+1-L75*0.3663)/11.068</f>
        <v>0.50831009628088464</v>
      </c>
      <c r="N75" s="308">
        <f>M75/0.4946*100</f>
        <v>102.77195638513641</v>
      </c>
      <c r="O75" s="307">
        <f>(N75-100)/100*P75*0.6611</f>
        <v>14.40376727843951</v>
      </c>
      <c r="P75" s="300">
        <v>786</v>
      </c>
      <c r="Q75" s="300">
        <f>P75-X75-AA75-AB75-AC75</f>
        <v>654</v>
      </c>
      <c r="R75" s="300">
        <v>76</v>
      </c>
      <c r="S75" s="300">
        <v>167</v>
      </c>
      <c r="T75" s="300">
        <v>23</v>
      </c>
      <c r="U75" s="300">
        <v>8</v>
      </c>
      <c r="V75" s="300">
        <v>8</v>
      </c>
      <c r="W75" s="300" t="s">
        <v>19</v>
      </c>
      <c r="X75" s="300">
        <v>110</v>
      </c>
      <c r="Y75" s="300">
        <v>91</v>
      </c>
      <c r="Z75" s="300">
        <f>S75+T75+U75*2+V75*3</f>
        <v>230</v>
      </c>
      <c r="AA75" s="300">
        <v>6</v>
      </c>
      <c r="AB75" s="300">
        <v>13</v>
      </c>
      <c r="AC75" s="300">
        <v>3</v>
      </c>
      <c r="AD75" s="9"/>
      <c r="AE75" s="6">
        <v>1948</v>
      </c>
      <c r="AF75" s="85">
        <v>0.50076956415346874</v>
      </c>
      <c r="AG75" s="86">
        <v>0.49956325902171195</v>
      </c>
      <c r="AH75" s="79">
        <v>8.1899999999999994E-3</v>
      </c>
      <c r="AI75" s="9"/>
    </row>
    <row r="76" spans="1:35" x14ac:dyDescent="0.2">
      <c r="A76" s="9"/>
      <c r="B76" s="301">
        <v>2010</v>
      </c>
      <c r="C76" s="302" t="s">
        <v>528</v>
      </c>
      <c r="D76" s="303">
        <f>(S76-V76)/(Q76-V76-Y76+AC76)</f>
        <v>0.22485207100591717</v>
      </c>
      <c r="E76" s="303">
        <f>Z76/P76</f>
        <v>0.24535315985130113</v>
      </c>
      <c r="F76" s="303">
        <f>(T76+U76+V76)/S76</f>
        <v>0.30232558139534882</v>
      </c>
      <c r="G76" s="303">
        <f>(Z76+R76)/P76</f>
        <v>0.32342007434944237</v>
      </c>
      <c r="H76" s="303">
        <f>(Z76/Q76)+((S76+X76+AA76)/(Q76+X76+AA76+AC76))</f>
        <v>0.51565641181845878</v>
      </c>
      <c r="I76" s="303">
        <f>V76/Z76</f>
        <v>7.575757575757576E-2</v>
      </c>
      <c r="J76" s="303">
        <f>(AB76+AC76)/Z76</f>
        <v>1.5151515151515152E-2</v>
      </c>
      <c r="K76" s="303">
        <f>Y76/P76</f>
        <v>0.26394052044609667</v>
      </c>
      <c r="L76" s="303">
        <f>(X76+AA76)/P76</f>
        <v>8.5501858736059477E-2</v>
      </c>
      <c r="M76" s="304">
        <f>(1-D76*0.7635+1-E76*0.7562+1-F76*0.75+1-G76*0.7248+1-H76*0.7021+1-I76*0.6285+J76*0.5884+K76*0.5276+1-L76*0.3663)/11.068</f>
        <v>0.5320586523778964</v>
      </c>
      <c r="N76" s="308">
        <f>M76/0.4924*100</f>
        <v>108.05415361045824</v>
      </c>
      <c r="O76" s="307">
        <f>(N76-100)/100*P76*0.6611</f>
        <v>14.323176560540912</v>
      </c>
      <c r="P76" s="300">
        <v>269</v>
      </c>
      <c r="Q76" s="300">
        <f>P76-X76-AA76-AB76-AC76</f>
        <v>245</v>
      </c>
      <c r="R76" s="300">
        <v>21</v>
      </c>
      <c r="S76" s="300">
        <v>43</v>
      </c>
      <c r="T76" s="300">
        <v>8</v>
      </c>
      <c r="U76" s="300">
        <v>0</v>
      </c>
      <c r="V76" s="300">
        <v>5</v>
      </c>
      <c r="W76" s="300" t="s">
        <v>19</v>
      </c>
      <c r="X76" s="300">
        <v>18</v>
      </c>
      <c r="Y76" s="300">
        <v>71</v>
      </c>
      <c r="Z76" s="300">
        <f>S76+T76+U76*2+V76*3</f>
        <v>66</v>
      </c>
      <c r="AA76" s="300">
        <v>5</v>
      </c>
      <c r="AB76" s="300">
        <v>1</v>
      </c>
      <c r="AC76" s="300">
        <v>0</v>
      </c>
      <c r="AD76" s="9"/>
      <c r="AE76" s="6">
        <v>1947</v>
      </c>
      <c r="AF76" s="85">
        <v>0.49836495309815504</v>
      </c>
      <c r="AG76" s="86">
        <v>0.50106907391368705</v>
      </c>
      <c r="AH76" s="79">
        <v>8.2400000000000008E-3</v>
      </c>
      <c r="AI76" s="9"/>
    </row>
    <row r="77" spans="1:35" x14ac:dyDescent="0.2">
      <c r="A77" s="9"/>
      <c r="B77" s="298">
        <v>1995</v>
      </c>
      <c r="C77" s="299" t="s">
        <v>548</v>
      </c>
      <c r="D77" s="292">
        <f>(S77-V77)/(Q77-V77-Y77+AC77)</f>
        <v>0.30890052356020942</v>
      </c>
      <c r="E77" s="292">
        <f>Z77/P77</f>
        <v>0.43005181347150256</v>
      </c>
      <c r="F77" s="292">
        <f>(T77+U77+V77)/S77</f>
        <v>0.38732394366197181</v>
      </c>
      <c r="G77" s="292">
        <f>(Z77+W77)/P77</f>
        <v>0.57512953367875652</v>
      </c>
      <c r="H77" s="292">
        <f>(Z77/Q77)+((S77+X77+AA77)/(Q77+X77+AA77+AC77))</f>
        <v>0.8386597312176165</v>
      </c>
      <c r="I77" s="292">
        <f>V77/Z77</f>
        <v>9.6385542168674704E-2</v>
      </c>
      <c r="J77" s="292">
        <f>(AB77+AC77)/Z77</f>
        <v>2.0080321285140562E-2</v>
      </c>
      <c r="K77" s="292">
        <f>Y77/P77</f>
        <v>0.19170984455958548</v>
      </c>
      <c r="L77" s="292">
        <f>(X77+AA77)/P77</f>
        <v>0.10708117443868739</v>
      </c>
      <c r="M77" s="293">
        <f>(D77*0.7635+E77*0.7562+F77*0.75+G77*0.7248+H77*0.7021+I77*0.6285+1-J77*0.5884+1-K77*0.5276+L77*0.3663)/6.931</f>
        <v>0.5546185751761924</v>
      </c>
      <c r="N77" s="294">
        <f>M77/0.5191*100</f>
        <v>106.84233773380704</v>
      </c>
      <c r="O77" s="286">
        <f>(N77-100)/100*P77*0.3389</f>
        <v>13.426247213745926</v>
      </c>
      <c r="P77" s="300">
        <v>579</v>
      </c>
      <c r="Q77" s="300">
        <f>P77-X77-AA77-AB77-AC77</f>
        <v>512</v>
      </c>
      <c r="R77" s="300" t="s">
        <v>19</v>
      </c>
      <c r="S77" s="300">
        <v>142</v>
      </c>
      <c r="T77" s="300">
        <v>27</v>
      </c>
      <c r="U77" s="300">
        <v>4</v>
      </c>
      <c r="V77" s="300">
        <v>24</v>
      </c>
      <c r="W77" s="300">
        <v>84</v>
      </c>
      <c r="X77" s="300">
        <v>52</v>
      </c>
      <c r="Y77" s="300">
        <v>111</v>
      </c>
      <c r="Z77" s="300">
        <f>S77+T77+U77*2+V77*3</f>
        <v>249</v>
      </c>
      <c r="AA77" s="300">
        <v>10</v>
      </c>
      <c r="AB77" s="300">
        <v>0</v>
      </c>
      <c r="AC77" s="300">
        <v>5</v>
      </c>
      <c r="AD77" s="9"/>
      <c r="AE77" s="39"/>
      <c r="AF77" s="39"/>
      <c r="AG77" s="39"/>
      <c r="AH77" s="40"/>
      <c r="AI77" s="9"/>
    </row>
    <row r="78" spans="1:35" x14ac:dyDescent="0.2">
      <c r="A78" s="9"/>
      <c r="B78" s="298">
        <v>1960</v>
      </c>
      <c r="C78" s="299" t="s">
        <v>599</v>
      </c>
      <c r="D78" s="292">
        <f>(S78-V78)/(Q78-V78-Y78+AC78)</f>
        <v>0.27033492822966509</v>
      </c>
      <c r="E78" s="292">
        <f>Z78/P78</f>
        <v>0.38448844884488448</v>
      </c>
      <c r="F78" s="292">
        <f>(T78+U78+V78)/S78</f>
        <v>0.36296296296296299</v>
      </c>
      <c r="G78" s="292">
        <f>(Z78+W78)/P78</f>
        <v>0.52640264026402639</v>
      </c>
      <c r="H78" s="292">
        <f>(Z78/Q78)+((S78+X78+AA78)/(Q78+X78+AA78+AC78))</f>
        <v>0.77846579258062509</v>
      </c>
      <c r="I78" s="292">
        <f>V78/Z78</f>
        <v>9.4420600858369105E-2</v>
      </c>
      <c r="J78" s="292">
        <f>(AB78+AC78)/Z78</f>
        <v>1.2875536480686695E-2</v>
      </c>
      <c r="K78" s="292">
        <f>Y78/P78</f>
        <v>0.15511551155115511</v>
      </c>
      <c r="L78" s="292">
        <f>(X78+AA78)/P78</f>
        <v>0.11716171617161716</v>
      </c>
      <c r="M78" s="293">
        <f>(D78*0.7635+E78*0.7562+F78*0.75+G78*0.7248+H78*0.7021+I78*0.6285+1-J78*0.5884+1-K78*0.5276+L78*0.3663)/6.931</f>
        <v>0.53532179285670456</v>
      </c>
      <c r="N78" s="294">
        <f>M78/0.5026*100</f>
        <v>106.51050395079676</v>
      </c>
      <c r="O78" s="286">
        <f>(N78-100)/100*P78*0.3389</f>
        <v>13.370843320885632</v>
      </c>
      <c r="P78" s="300">
        <v>606</v>
      </c>
      <c r="Q78" s="300">
        <f>P78-X78-AA78-AB78-AC78</f>
        <v>532</v>
      </c>
      <c r="R78" s="300" t="s">
        <v>19</v>
      </c>
      <c r="S78" s="300">
        <v>135</v>
      </c>
      <c r="T78" s="300">
        <v>22</v>
      </c>
      <c r="U78" s="300">
        <v>5</v>
      </c>
      <c r="V78" s="300">
        <v>22</v>
      </c>
      <c r="W78" s="300">
        <v>86</v>
      </c>
      <c r="X78" s="300">
        <v>69</v>
      </c>
      <c r="Y78" s="300">
        <v>94</v>
      </c>
      <c r="Z78" s="300">
        <f>S78+T78+U78*2+V78*3</f>
        <v>233</v>
      </c>
      <c r="AA78" s="300">
        <v>2</v>
      </c>
      <c r="AB78" s="300">
        <v>1</v>
      </c>
      <c r="AC78" s="300">
        <v>2</v>
      </c>
      <c r="AD78" s="9"/>
      <c r="AE78" s="37"/>
      <c r="AF78" s="37"/>
      <c r="AG78" s="37"/>
      <c r="AH78" s="17"/>
    </row>
    <row r="79" spans="1:35" x14ac:dyDescent="0.2">
      <c r="A79" s="9"/>
      <c r="B79" s="298">
        <v>1977</v>
      </c>
      <c r="C79" s="299" t="s">
        <v>52</v>
      </c>
      <c r="D79" s="292">
        <f>(S79-V79)/(Q79-V79-Y79+AC79)</f>
        <v>0.30935251798561153</v>
      </c>
      <c r="E79" s="292">
        <f>Z79/P79</f>
        <v>0.43992932862190814</v>
      </c>
      <c r="F79" s="292">
        <f>(T79+U79+V79)/S79</f>
        <v>0.36486486486486486</v>
      </c>
      <c r="G79" s="292">
        <f>(Z79+W79)/P79</f>
        <v>0.55477031802120136</v>
      </c>
      <c r="H79" s="292">
        <f>(Z79/Q79)+((S79+X79+AA79)/(Q79+X79+AA79+AC79))</f>
        <v>0.7999494310998736</v>
      </c>
      <c r="I79" s="292">
        <f>V79/Z79</f>
        <v>7.6305220883534142E-2</v>
      </c>
      <c r="J79" s="292">
        <f>(AB79+AC79)/Z79</f>
        <v>2.0080321285140562E-2</v>
      </c>
      <c r="K79" s="292">
        <f>Y79/P79</f>
        <v>0.16431095406360424</v>
      </c>
      <c r="L79" s="292">
        <f>(X79+AA79)/P79</f>
        <v>6.3604240282685506E-2</v>
      </c>
      <c r="M79" s="293">
        <f>(D79*0.7635+E79*0.7562+F79*0.75+G79*0.7248+H79*0.7021+I79*0.6285+1-J79*0.5884+1-K79*0.5276+L79*0.3663)/6.931</f>
        <v>0.54523246582661267</v>
      </c>
      <c r="N79" s="294">
        <f>M79/0.5098*100</f>
        <v>106.95026791420412</v>
      </c>
      <c r="O79" s="286">
        <f>(N79-100)/100*P79*0.3389</f>
        <v>13.331823206060568</v>
      </c>
      <c r="P79" s="300">
        <v>566</v>
      </c>
      <c r="Q79" s="300">
        <f>P79-X79-AA79-AB79-AC79</f>
        <v>525</v>
      </c>
      <c r="R79" s="300" t="s">
        <v>19</v>
      </c>
      <c r="S79" s="300">
        <v>148</v>
      </c>
      <c r="T79" s="300">
        <v>26</v>
      </c>
      <c r="U79" s="300">
        <v>9</v>
      </c>
      <c r="V79" s="300">
        <v>19</v>
      </c>
      <c r="W79" s="300">
        <v>65</v>
      </c>
      <c r="X79" s="300">
        <v>34</v>
      </c>
      <c r="Y79" s="300">
        <v>93</v>
      </c>
      <c r="Z79" s="300">
        <f>S79+T79+U79*2+V79*3</f>
        <v>249</v>
      </c>
      <c r="AA79" s="300">
        <v>2</v>
      </c>
      <c r="AB79" s="300">
        <v>1</v>
      </c>
      <c r="AC79" s="300">
        <v>4</v>
      </c>
      <c r="AD79" s="9"/>
      <c r="AE79" s="37"/>
      <c r="AF79" s="88"/>
      <c r="AG79" s="88"/>
      <c r="AH79" s="312">
        <f>AH76*701</f>
        <v>5.7762400000000005</v>
      </c>
    </row>
    <row r="80" spans="1:35" x14ac:dyDescent="0.2">
      <c r="A80" s="9"/>
      <c r="B80" s="298">
        <v>1994</v>
      </c>
      <c r="C80" s="299" t="s">
        <v>551</v>
      </c>
      <c r="D80" s="292">
        <f>(S80-V80)/(Q80-V80-Y80+AC80)</f>
        <v>0.34210526315789475</v>
      </c>
      <c r="E80" s="292">
        <f>Z80/P80</f>
        <v>0.4933920704845815</v>
      </c>
      <c r="F80" s="292">
        <f>(T80+U80+V80)/S80</f>
        <v>0.38345864661654133</v>
      </c>
      <c r="G80" s="292">
        <f>(Z80+W80)/P80</f>
        <v>0.61674008810572689</v>
      </c>
      <c r="H80" s="292">
        <f>(Z80/Q80)+((S80+X80+AA80)/(Q80+X80+AA80+AC80))</f>
        <v>0.84872815120079581</v>
      </c>
      <c r="I80" s="292">
        <f>V80/Z80</f>
        <v>7.1428571428571425E-2</v>
      </c>
      <c r="J80" s="292">
        <f>(AB80+AC80)/Z80</f>
        <v>8.9285714285714281E-3</v>
      </c>
      <c r="K80" s="292">
        <f>Y80/P80</f>
        <v>0.17180616740088106</v>
      </c>
      <c r="L80" s="292">
        <f>(X80+AA80)/P80</f>
        <v>3.9647577092511016E-2</v>
      </c>
      <c r="M80" s="293">
        <f>(D80*0.7635+E80*0.7562+F80*0.75+G80*0.7248+H80*0.7021+I80*0.6285+1-J80*0.5884+1-K80*0.5276+L80*0.3663)/6.931</f>
        <v>0.56677491663303659</v>
      </c>
      <c r="N80" s="294">
        <f>M80/0.5225*100</f>
        <v>108.47366825512663</v>
      </c>
      <c r="O80" s="286">
        <f>(N80-100)/100*P80*0.3389</f>
        <v>13.037636819347357</v>
      </c>
      <c r="P80" s="300">
        <v>454</v>
      </c>
      <c r="Q80" s="300">
        <f>P80-X80-AA80-AB80-AC80</f>
        <v>434</v>
      </c>
      <c r="R80" s="300" t="s">
        <v>19</v>
      </c>
      <c r="S80" s="300">
        <v>133</v>
      </c>
      <c r="T80" s="300">
        <v>27</v>
      </c>
      <c r="U80" s="300">
        <v>8</v>
      </c>
      <c r="V80" s="300">
        <v>16</v>
      </c>
      <c r="W80" s="300">
        <v>56</v>
      </c>
      <c r="X80" s="300">
        <v>16</v>
      </c>
      <c r="Y80" s="300">
        <v>78</v>
      </c>
      <c r="Z80" s="300">
        <f>S80+T80+U80*2+V80*3</f>
        <v>224</v>
      </c>
      <c r="AA80" s="300">
        <v>2</v>
      </c>
      <c r="AB80" s="300">
        <v>0</v>
      </c>
      <c r="AC80" s="300">
        <v>2</v>
      </c>
      <c r="AD80" s="9"/>
      <c r="AE80" s="37"/>
      <c r="AF80" s="88"/>
      <c r="AG80" s="37"/>
      <c r="AH80" s="134"/>
    </row>
    <row r="81" spans="1:34" x14ac:dyDescent="0.2">
      <c r="A81" s="9"/>
      <c r="B81" s="301">
        <v>1949</v>
      </c>
      <c r="C81" s="302" t="s">
        <v>394</v>
      </c>
      <c r="D81" s="303">
        <f>(S81-V81)/(Q81-V81-Y81+AC81)</f>
        <v>0.27393617021276595</v>
      </c>
      <c r="E81" s="303">
        <f>Z81/P81</f>
        <v>0.3263681592039801</v>
      </c>
      <c r="F81" s="303">
        <f>(T81+U81+V81)/S81</f>
        <v>0.28251121076233182</v>
      </c>
      <c r="G81" s="303">
        <f>(Z81+R81)/P81</f>
        <v>0.41492537313432837</v>
      </c>
      <c r="H81" s="303">
        <f>(Z81/Q81)+((S81+X81+AA81)/(Q81+X81+AA81+AC81))</f>
        <v>0.66164091258220392</v>
      </c>
      <c r="I81" s="303">
        <f>V81/Z81</f>
        <v>5.1829268292682924E-2</v>
      </c>
      <c r="J81" s="303">
        <f>(AB81+AC81)/Z81</f>
        <v>6.097560975609756E-2</v>
      </c>
      <c r="K81" s="303">
        <f>Y81/P81</f>
        <v>0.14825870646766171</v>
      </c>
      <c r="L81" s="303">
        <f>(X81+AA81)/P81</f>
        <v>7.5621890547263676E-2</v>
      </c>
      <c r="M81" s="304">
        <f>(1-D81*0.7635+1-E81*0.7562+1-F81*0.75+1-G81*0.7248+1-H81*0.7021+1-I81*0.6285+J81*0.5884+K81*0.5276+1-L81*0.3663)/11.068</f>
        <v>0.50783475582692805</v>
      </c>
      <c r="N81" s="308">
        <f>M81/0.4982*100</f>
        <v>101.93391325309675</v>
      </c>
      <c r="O81" s="307">
        <f>(N81-100)/100*P81*0.6611</f>
        <v>12.849026018803713</v>
      </c>
      <c r="P81" s="300">
        <v>1005</v>
      </c>
      <c r="Q81" s="311">
        <f>P81-X81-AA81-AB81-AC81</f>
        <v>909</v>
      </c>
      <c r="R81" s="300">
        <v>89</v>
      </c>
      <c r="S81" s="300">
        <v>223</v>
      </c>
      <c r="T81" s="300">
        <v>38</v>
      </c>
      <c r="U81" s="300">
        <v>8</v>
      </c>
      <c r="V81" s="300">
        <v>17</v>
      </c>
      <c r="W81" s="300" t="s">
        <v>19</v>
      </c>
      <c r="X81" s="300">
        <v>73</v>
      </c>
      <c r="Y81" s="300">
        <v>149</v>
      </c>
      <c r="Z81" s="300">
        <f>S81+T81+U81*2+V81*3</f>
        <v>328</v>
      </c>
      <c r="AA81" s="300">
        <v>3</v>
      </c>
      <c r="AB81" s="300">
        <v>11</v>
      </c>
      <c r="AC81" s="311">
        <v>9</v>
      </c>
      <c r="AD81" s="9"/>
      <c r="AE81" s="37"/>
      <c r="AF81" s="88"/>
      <c r="AG81" s="37"/>
      <c r="AH81" s="38"/>
    </row>
    <row r="82" spans="1:34" x14ac:dyDescent="0.2">
      <c r="A82" s="9"/>
      <c r="B82" s="298">
        <v>2012</v>
      </c>
      <c r="C82" s="299" t="s">
        <v>340</v>
      </c>
      <c r="D82" s="292">
        <f>(S82-V82)/(Q82-V82-Y82+AC82)</f>
        <v>0.30964467005076141</v>
      </c>
      <c r="E82" s="292">
        <f>Z82/P82</f>
        <v>0.42546063651591287</v>
      </c>
      <c r="F82" s="292">
        <f>(T82+U82+V82)/S82</f>
        <v>0.39583333333333331</v>
      </c>
      <c r="G82" s="292">
        <f>(Z82+W82)/P82</f>
        <v>0.52428810720268004</v>
      </c>
      <c r="H82" s="292">
        <f>(Z82/Q82)+((S82+X82+AA82)/(Q82+X82+AA82+AC82))</f>
        <v>0.81661518246884102</v>
      </c>
      <c r="I82" s="292">
        <f>V82/Z82</f>
        <v>8.6614173228346455E-2</v>
      </c>
      <c r="J82" s="292">
        <f>(AB82+AC82)/Z82</f>
        <v>2.3622047244094488E-2</v>
      </c>
      <c r="K82" s="292">
        <f>Y82/P82</f>
        <v>0.20100502512562815</v>
      </c>
      <c r="L82" s="292">
        <f>(X82+AA82)/P82</f>
        <v>9.7152428810720268E-2</v>
      </c>
      <c r="M82" s="293">
        <f>(D82*0.7635+E82*0.7562+F82*0.75+G82*0.7248+H82*0.7021+I82*0.6285+1-J82*0.5884+1-K82*0.5276+L82*0.3663)/6.931</f>
        <v>0.54515164584066389</v>
      </c>
      <c r="N82" s="294">
        <f>M82/0.5129*100</f>
        <v>106.28809628400543</v>
      </c>
      <c r="O82" s="286">
        <f>(N82-100)/100*P82*0.3389</f>
        <v>12.722283908977166</v>
      </c>
      <c r="P82" s="300">
        <v>597</v>
      </c>
      <c r="Q82" s="300">
        <f>P82-X82-AA82-AB82-AC82</f>
        <v>533</v>
      </c>
      <c r="R82" s="300" t="s">
        <v>19</v>
      </c>
      <c r="S82" s="300">
        <v>144</v>
      </c>
      <c r="T82" s="300">
        <v>26</v>
      </c>
      <c r="U82" s="300">
        <v>9</v>
      </c>
      <c r="V82" s="300">
        <v>22</v>
      </c>
      <c r="W82" s="300">
        <v>59</v>
      </c>
      <c r="X82" s="300">
        <v>56</v>
      </c>
      <c r="Y82" s="300">
        <v>120</v>
      </c>
      <c r="Z82" s="300">
        <f>S82+T82+U82*2+V82*3</f>
        <v>254</v>
      </c>
      <c r="AA82" s="300">
        <v>2</v>
      </c>
      <c r="AB82" s="300">
        <v>3</v>
      </c>
      <c r="AC82" s="300">
        <v>3</v>
      </c>
      <c r="AD82" s="9"/>
      <c r="AE82" s="37"/>
      <c r="AF82" s="37"/>
      <c r="AG82" s="37"/>
      <c r="AH82" s="38"/>
    </row>
    <row r="83" spans="1:34" x14ac:dyDescent="0.2">
      <c r="A83" s="9"/>
      <c r="B83" s="298">
        <v>1973</v>
      </c>
      <c r="C83" s="299" t="s">
        <v>583</v>
      </c>
      <c r="D83" s="292">
        <f>(S83-V83)/(Q83-V83-Y83+AC83)</f>
        <v>0.33482142857142855</v>
      </c>
      <c r="E83" s="292">
        <f>Z83/P83</f>
        <v>0.39669421487603307</v>
      </c>
      <c r="F83" s="292">
        <f>(T83+U83+V83)/S83</f>
        <v>0.27160493827160492</v>
      </c>
      <c r="G83" s="292">
        <f>(Z83+W83)/P83</f>
        <v>0.49256198347107438</v>
      </c>
      <c r="H83" s="292">
        <f>(Z83/Q83)+((S83+X83+AA83)/(Q83+X83+AA83+AC83))</f>
        <v>0.81155407899593945</v>
      </c>
      <c r="I83" s="292">
        <f>V83/Z83</f>
        <v>0.05</v>
      </c>
      <c r="J83" s="292">
        <f>(AB83+AC83)/Z83</f>
        <v>2.5000000000000001E-2</v>
      </c>
      <c r="K83" s="292">
        <f>Y83/P83</f>
        <v>0.13719008264462809</v>
      </c>
      <c r="L83" s="292">
        <f>(X83+AA83)/P83</f>
        <v>9.7520661157024791E-2</v>
      </c>
      <c r="M83" s="293">
        <f>(D83*0.7635+E83*0.7562+F83*0.75+G83*0.7248+H83*0.7021+I83*0.6285+1-J83*0.5884+1-K83*0.5276+L83*0.3663)/6.931</f>
        <v>0.52895345617784462</v>
      </c>
      <c r="N83" s="294">
        <f>M83/0.4983*100</f>
        <v>106.15160669834329</v>
      </c>
      <c r="O83" s="286">
        <f>(N83-100)/100*P83*0.3389</f>
        <v>12.612916035914663</v>
      </c>
      <c r="P83" s="300">
        <v>605</v>
      </c>
      <c r="Q83" s="300">
        <f>P83-X83-AA83-AB83-AC83</f>
        <v>540</v>
      </c>
      <c r="R83" s="300" t="s">
        <v>19</v>
      </c>
      <c r="S83" s="300">
        <v>162</v>
      </c>
      <c r="T83" s="300">
        <v>22</v>
      </c>
      <c r="U83" s="300">
        <v>10</v>
      </c>
      <c r="V83" s="300">
        <v>12</v>
      </c>
      <c r="W83" s="300">
        <v>58</v>
      </c>
      <c r="X83" s="300">
        <v>58</v>
      </c>
      <c r="Y83" s="300">
        <v>83</v>
      </c>
      <c r="Z83" s="300">
        <f>S83+T83+U83*2+V83*3</f>
        <v>240</v>
      </c>
      <c r="AA83" s="300">
        <v>1</v>
      </c>
      <c r="AB83" s="300">
        <v>3</v>
      </c>
      <c r="AC83" s="300">
        <v>3</v>
      </c>
      <c r="AD83" s="9"/>
      <c r="AE83" s="37"/>
      <c r="AF83" s="37"/>
      <c r="AG83" s="37"/>
      <c r="AH83" s="38"/>
    </row>
    <row r="84" spans="1:34" x14ac:dyDescent="0.2">
      <c r="A84" s="9"/>
      <c r="B84" s="298">
        <v>1960</v>
      </c>
      <c r="C84" s="299" t="s">
        <v>600</v>
      </c>
      <c r="D84" s="292">
        <f>(S84-V84)/(Q84-V84-Y84+AC84)</f>
        <v>0.30407523510971785</v>
      </c>
      <c r="E84" s="292">
        <f>Z84/P84</f>
        <v>0.4271047227926078</v>
      </c>
      <c r="F84" s="292">
        <f>(T84+U84+V84)/S84</f>
        <v>0.33333333333333331</v>
      </c>
      <c r="G84" s="292">
        <f>(Z84+W84)/P84</f>
        <v>0.58521560574948661</v>
      </c>
      <c r="H84" s="292">
        <f>(Z84/Q84)+((S84+X84+AA84)/(Q84+X84+AA84+AC84))</f>
        <v>0.78387334315169366</v>
      </c>
      <c r="I84" s="292">
        <f>V84/Z84</f>
        <v>0.11057692307692307</v>
      </c>
      <c r="J84" s="292">
        <f>(AB84+AC84)/Z84</f>
        <v>1.9230769230769232E-2</v>
      </c>
      <c r="K84" s="292">
        <f>Y84/P84</f>
        <v>0.22176591375770022</v>
      </c>
      <c r="L84" s="292">
        <f>(X84+AA84)/P84</f>
        <v>7.1868583162217656E-2</v>
      </c>
      <c r="M84" s="293">
        <f>(D84*0.7635+E84*0.7562+F84*0.75+G84*0.7248+H84*0.7021+I84*0.6285+1-J84*0.5884+1-K84*0.5276+L84*0.3663)/6.931</f>
        <v>0.54063825654426356</v>
      </c>
      <c r="N84" s="294">
        <f>M84/0.5026*100</f>
        <v>107.56829616877508</v>
      </c>
      <c r="O84" s="286">
        <f>(N84-100)/100*P84*0.3389</f>
        <v>12.491041433681644</v>
      </c>
      <c r="P84" s="300">
        <v>487</v>
      </c>
      <c r="Q84" s="300">
        <f>P84-X84-AA84-AB84-AC84</f>
        <v>448</v>
      </c>
      <c r="R84" s="300" t="s">
        <v>19</v>
      </c>
      <c r="S84" s="300">
        <v>120</v>
      </c>
      <c r="T84" s="300">
        <v>15</v>
      </c>
      <c r="U84" s="300">
        <v>2</v>
      </c>
      <c r="V84" s="300">
        <v>23</v>
      </c>
      <c r="W84" s="300">
        <v>77</v>
      </c>
      <c r="X84" s="300">
        <v>32</v>
      </c>
      <c r="Y84" s="300">
        <v>108</v>
      </c>
      <c r="Z84" s="300">
        <f>S84+T84+U84*2+V84*3</f>
        <v>208</v>
      </c>
      <c r="AA84" s="300">
        <v>3</v>
      </c>
      <c r="AB84" s="300">
        <v>2</v>
      </c>
      <c r="AC84" s="300">
        <v>2</v>
      </c>
      <c r="AD84" s="9"/>
      <c r="AE84" s="37"/>
      <c r="AF84" s="37"/>
      <c r="AG84" s="37"/>
      <c r="AH84" s="38"/>
    </row>
    <row r="85" spans="1:34" x14ac:dyDescent="0.2">
      <c r="A85" s="9"/>
      <c r="B85" s="298">
        <v>1992</v>
      </c>
      <c r="C85" s="299" t="s">
        <v>554</v>
      </c>
      <c r="D85" s="292">
        <f>(S85-V85)/(Q85-V85-Y85+AC85)</f>
        <v>0.28103044496487117</v>
      </c>
      <c r="E85" s="292">
        <f>Z85/P85</f>
        <v>0.39388794567062818</v>
      </c>
      <c r="F85" s="292">
        <f>(T85+U85+V85)/S85</f>
        <v>0.36428571428571427</v>
      </c>
      <c r="G85" s="292">
        <f>(Z85+W85)/P85</f>
        <v>0.54329371816638372</v>
      </c>
      <c r="H85" s="292">
        <f>(Z85/Q85)+((S85+X85+AA85)/(Q85+X85+AA85+AC85))</f>
        <v>0.7295929969938163</v>
      </c>
      <c r="I85" s="292">
        <f>V85/Z85</f>
        <v>8.6206896551724144E-2</v>
      </c>
      <c r="J85" s="292">
        <f>(AB85+AC85)/Z85</f>
        <v>2.1551724137931036E-2</v>
      </c>
      <c r="K85" s="292">
        <f>Y85/P85</f>
        <v>0.17487266553480477</v>
      </c>
      <c r="L85" s="292">
        <f>(X85+AA85)/P85</f>
        <v>6.6213921901528014E-2</v>
      </c>
      <c r="M85" s="293">
        <f>(D85*0.7635+E85*0.7562+F85*0.75+G85*0.7248+H85*0.7021+I85*0.6285+1-J85*0.5884+1-K85*0.5276+L85*0.3663)/6.931</f>
        <v>0.52880637228882033</v>
      </c>
      <c r="N85" s="294">
        <f>M85/0.4982*100</f>
        <v>106.14339066415504</v>
      </c>
      <c r="O85" s="286">
        <f>(N85-100)/100*P85*0.3389</f>
        <v>12.262951115923814</v>
      </c>
      <c r="P85" s="300">
        <v>589</v>
      </c>
      <c r="Q85" s="300">
        <f>P85-X85-AA85-AB85-AC85</f>
        <v>545</v>
      </c>
      <c r="R85" s="300" t="s">
        <v>19</v>
      </c>
      <c r="S85" s="300">
        <v>140</v>
      </c>
      <c r="T85" s="300">
        <v>30</v>
      </c>
      <c r="U85" s="300">
        <v>1</v>
      </c>
      <c r="V85" s="300">
        <v>20</v>
      </c>
      <c r="W85" s="300">
        <v>88</v>
      </c>
      <c r="X85" s="300">
        <v>37</v>
      </c>
      <c r="Y85" s="300">
        <v>103</v>
      </c>
      <c r="Z85" s="300">
        <f>S85+T85+U85*2+V85*3</f>
        <v>232</v>
      </c>
      <c r="AA85" s="300">
        <v>2</v>
      </c>
      <c r="AB85" s="300">
        <v>0</v>
      </c>
      <c r="AC85" s="300">
        <v>5</v>
      </c>
      <c r="AD85" s="9"/>
      <c r="AE85" s="37"/>
      <c r="AF85" s="37"/>
      <c r="AG85" s="37"/>
      <c r="AH85" s="38"/>
    </row>
    <row r="86" spans="1:34" x14ac:dyDescent="0.2">
      <c r="A86" s="9"/>
      <c r="B86" s="298">
        <v>1997</v>
      </c>
      <c r="C86" s="299" t="s">
        <v>546</v>
      </c>
      <c r="D86" s="292">
        <f>(S86-V86)/(Q86-V86-Y86+AC86)</f>
        <v>0.33740831295843521</v>
      </c>
      <c r="E86" s="292">
        <f>Z86/P86</f>
        <v>0.40030441400304412</v>
      </c>
      <c r="F86" s="292">
        <f>(T86+U86+V86)/S86</f>
        <v>0.37106918238993708</v>
      </c>
      <c r="G86" s="292">
        <f>(Z86+W86)/P86</f>
        <v>0.54033485540334858</v>
      </c>
      <c r="H86" s="292">
        <f>(Z86/Q86)+((S86+X86+AA86)/(Q86+X86+AA86+AC86))</f>
        <v>0.84627906787455531</v>
      </c>
      <c r="I86" s="292">
        <f>V86/Z86</f>
        <v>7.9847908745247151E-2</v>
      </c>
      <c r="J86" s="292">
        <f>(AB86+AC86)/Z86</f>
        <v>2.6615969581749048E-2</v>
      </c>
      <c r="K86" s="292">
        <f>Y86/P86</f>
        <v>0.21004566210045661</v>
      </c>
      <c r="L86" s="292">
        <f>(X86+AA86)/P86</f>
        <v>0.13546423135464231</v>
      </c>
      <c r="M86" s="293">
        <f>(D86*0.7635+E86*0.7562+F86*0.75+G86*0.7248+H86*0.7021+I86*0.6285+1-J86*0.5884+1-K86*0.5276+L86*0.3663)/6.931</f>
        <v>0.54793746921394948</v>
      </c>
      <c r="N86" s="294">
        <f>M86/0.5199*100</f>
        <v>105.39285809077697</v>
      </c>
      <c r="O86" s="286">
        <f>(N86-100)/100*P86*0.3389</f>
        <v>12.007592217755546</v>
      </c>
      <c r="P86" s="300">
        <v>657</v>
      </c>
      <c r="Q86" s="300">
        <f>P86-X86-AA86-AB86-AC86</f>
        <v>561</v>
      </c>
      <c r="R86" s="300" t="s">
        <v>19</v>
      </c>
      <c r="S86" s="300">
        <v>159</v>
      </c>
      <c r="T86" s="300">
        <v>35</v>
      </c>
      <c r="U86" s="300">
        <v>3</v>
      </c>
      <c r="V86" s="300">
        <v>21</v>
      </c>
      <c r="W86" s="300">
        <v>92</v>
      </c>
      <c r="X86" s="300">
        <v>76</v>
      </c>
      <c r="Y86" s="300">
        <v>138</v>
      </c>
      <c r="Z86" s="300">
        <f>S86+T86+U86*2+V86*3</f>
        <v>263</v>
      </c>
      <c r="AA86" s="300">
        <v>13</v>
      </c>
      <c r="AB86" s="300">
        <v>0</v>
      </c>
      <c r="AC86" s="300">
        <v>7</v>
      </c>
      <c r="AD86" s="9"/>
      <c r="AE86" s="37"/>
      <c r="AF86" s="37"/>
      <c r="AG86" s="37"/>
      <c r="AH86" s="38"/>
    </row>
    <row r="87" spans="1:34" x14ac:dyDescent="0.2">
      <c r="A87" s="9"/>
      <c r="B87" s="298">
        <v>1998</v>
      </c>
      <c r="C87" s="299" t="s">
        <v>543</v>
      </c>
      <c r="D87" s="292">
        <f>(S87-V87)/(Q87-V87-Y87+AC87)</f>
        <v>0.33860045146726864</v>
      </c>
      <c r="E87" s="292">
        <f>Z87/P87</f>
        <v>0.39380530973451328</v>
      </c>
      <c r="F87" s="292">
        <f>(T87+U87+V87)/S87</f>
        <v>0.36309523809523808</v>
      </c>
      <c r="G87" s="292">
        <f>(Z87+W87)/P87</f>
        <v>0.52507374631268433</v>
      </c>
      <c r="H87" s="292">
        <f>(Z87/Q87)+((S87+X87+AA87)/(Q87+X87+AA87+AC87))</f>
        <v>0.84440666474394976</v>
      </c>
      <c r="I87" s="292">
        <f>V87/Z87</f>
        <v>6.741573033707865E-2</v>
      </c>
      <c r="J87" s="291">
        <f>(AB87+AC87)/Z87</f>
        <v>3.7453183520599251E-3</v>
      </c>
      <c r="K87" s="292">
        <f>Y87/P87</f>
        <v>0.18141592920353983</v>
      </c>
      <c r="L87" s="292">
        <f>(X87+AA87)/P87</f>
        <v>0.13864306784660768</v>
      </c>
      <c r="M87" s="293">
        <f>(D87*0.7635+E87*0.7562+F87*0.75+G87*0.7248+H87*0.7021+I87*0.6285+1-J87*0.5884+1-K87*0.5276+L87*0.3663)/6.931</f>
        <v>0.54787285699538513</v>
      </c>
      <c r="N87" s="294">
        <f>M87/0.5208*100</f>
        <v>105.19832123567301</v>
      </c>
      <c r="O87" s="286">
        <f>(N87-100)/100*P87*0.3389</f>
        <v>11.944401032697764</v>
      </c>
      <c r="P87" s="300">
        <v>678</v>
      </c>
      <c r="Q87" s="300">
        <f>P87-X87-AA87-AB87-AC87</f>
        <v>583</v>
      </c>
      <c r="R87" s="300" t="s">
        <v>19</v>
      </c>
      <c r="S87" s="300">
        <v>168</v>
      </c>
      <c r="T87" s="300">
        <v>41</v>
      </c>
      <c r="U87" s="300">
        <v>2</v>
      </c>
      <c r="V87" s="300">
        <v>18</v>
      </c>
      <c r="W87" s="300">
        <v>89</v>
      </c>
      <c r="X87" s="300">
        <v>85</v>
      </c>
      <c r="Y87" s="300">
        <v>123</v>
      </c>
      <c r="Z87" s="300">
        <f>S87+T87+U87*2+V87*3</f>
        <v>267</v>
      </c>
      <c r="AA87" s="300">
        <v>9</v>
      </c>
      <c r="AB87" s="300">
        <v>0</v>
      </c>
      <c r="AC87" s="300">
        <v>1</v>
      </c>
      <c r="AD87" s="9"/>
      <c r="AE87" s="37"/>
      <c r="AF87" s="37"/>
      <c r="AG87" s="37"/>
      <c r="AH87" s="38"/>
    </row>
    <row r="88" spans="1:34" x14ac:dyDescent="0.2">
      <c r="A88" s="9"/>
      <c r="B88" s="298">
        <v>1991</v>
      </c>
      <c r="C88" s="299" t="s">
        <v>35</v>
      </c>
      <c r="D88" s="292">
        <f>(S88-V88)/(Q88-V88-Y88+AC88)</f>
        <v>0.34418604651162793</v>
      </c>
      <c r="E88" s="292">
        <f>Z88/P88</f>
        <v>0.37230769230769228</v>
      </c>
      <c r="F88" s="292">
        <f>(T88+U88+V88)/S88</f>
        <v>0.27607361963190186</v>
      </c>
      <c r="G88" s="292">
        <f>(Z88+W88)/P88</f>
        <v>0.49846153846153846</v>
      </c>
      <c r="H88" s="292">
        <f>(Z88/Q88)+((S88+X88+AA88)/(Q88+X88+AA88+AC88))</f>
        <v>0.8235719490691038</v>
      </c>
      <c r="I88" s="292">
        <f>V88/Z88</f>
        <v>6.1983471074380167E-2</v>
      </c>
      <c r="J88" s="292">
        <f>(AB88+AC88)/Z88</f>
        <v>3.3057851239669422E-2</v>
      </c>
      <c r="K88" s="292">
        <f>Y88/P88</f>
        <v>0.17846153846153845</v>
      </c>
      <c r="L88" s="292">
        <f>(X88+AA88)/P88</f>
        <v>0.13538461538461538</v>
      </c>
      <c r="M88" s="293">
        <f>(D88*0.7635+E88*0.7562+F88*0.75+G88*0.7248+H88*0.7021+I88*0.6285+1-J88*0.5884+1-K88*0.5276+L88*0.3663)/6.931</f>
        <v>0.5289042815612286</v>
      </c>
      <c r="N88" s="294">
        <f>M88/0.5022*100</f>
        <v>105.31745949048758</v>
      </c>
      <c r="O88" s="286">
        <f>(N88-100)/100*P88*0.3389</f>
        <v>11.713565638620562</v>
      </c>
      <c r="P88" s="300">
        <v>650</v>
      </c>
      <c r="Q88" s="300">
        <f>P88-X88-AA88-AB88-AC88</f>
        <v>554</v>
      </c>
      <c r="R88" s="300" t="s">
        <v>19</v>
      </c>
      <c r="S88" s="300">
        <v>163</v>
      </c>
      <c r="T88" s="300">
        <v>26</v>
      </c>
      <c r="U88" s="300">
        <v>4</v>
      </c>
      <c r="V88" s="300">
        <v>15</v>
      </c>
      <c r="W88" s="300">
        <v>82</v>
      </c>
      <c r="X88" s="300">
        <v>75</v>
      </c>
      <c r="Y88" s="300">
        <v>116</v>
      </c>
      <c r="Z88" s="300">
        <f>S88+T88+U88*2+V88*3</f>
        <v>242</v>
      </c>
      <c r="AA88" s="300">
        <v>13</v>
      </c>
      <c r="AB88" s="300">
        <v>1</v>
      </c>
      <c r="AC88" s="300">
        <v>7</v>
      </c>
      <c r="AD88" s="9"/>
      <c r="AE88" s="37"/>
      <c r="AF88" s="37"/>
      <c r="AG88" s="37"/>
      <c r="AH88" s="38"/>
    </row>
    <row r="89" spans="1:34" x14ac:dyDescent="0.2">
      <c r="A89" s="9"/>
      <c r="B89" s="301">
        <v>1968</v>
      </c>
      <c r="C89" s="302" t="s">
        <v>589</v>
      </c>
      <c r="D89" s="303">
        <f>(S89-V89)/(Q89-V89-Y89+AC89)</f>
        <v>0.24969097651421507</v>
      </c>
      <c r="E89" s="303">
        <f>Z89/P89</f>
        <v>0.28851540616246496</v>
      </c>
      <c r="F89" s="303">
        <f>(T89+U89+V89)/S89</f>
        <v>0.26851851851851855</v>
      </c>
      <c r="G89" s="303">
        <f>(Z89+R89)/P89</f>
        <v>0.35574229691876752</v>
      </c>
      <c r="H89" s="303">
        <f>(Z89/Q89)+((S89+X89+AA89)/(Q89+X89+AA89+AC89))</f>
        <v>0.58639616984234455</v>
      </c>
      <c r="I89" s="303">
        <f>V89/Z89</f>
        <v>4.5307443365695796E-2</v>
      </c>
      <c r="J89" s="303">
        <f>(AB89+AC89)/Z89</f>
        <v>6.7961165048543687E-2</v>
      </c>
      <c r="K89" s="303">
        <f>Y89/P89</f>
        <v>0.15126050420168066</v>
      </c>
      <c r="L89" s="303">
        <f>(X89+AA89)/P89</f>
        <v>6.535947712418301E-2</v>
      </c>
      <c r="M89" s="304">
        <f>(1-D89*0.7635+1-E89*0.7562+1-F89*0.75+1-G89*0.7248+1-H89*0.7021+1-I89*0.6285+J89*0.5884+K89*0.5276+1-L89*0.3663)/11.068</f>
        <v>0.52291492768836834</v>
      </c>
      <c r="N89" s="308">
        <f>M89/0.5146*100</f>
        <v>101.61580405914661</v>
      </c>
      <c r="O89" s="307">
        <f>(N89-100)/100*P89*0.6611</f>
        <v>11.440508360104547</v>
      </c>
      <c r="P89" s="300">
        <v>1071</v>
      </c>
      <c r="Q89" s="300">
        <f>P89-X89-AA89-AB89-AC89</f>
        <v>980</v>
      </c>
      <c r="R89" s="300">
        <v>72</v>
      </c>
      <c r="S89" s="300">
        <v>216</v>
      </c>
      <c r="T89" s="300">
        <v>37</v>
      </c>
      <c r="U89" s="300">
        <v>7</v>
      </c>
      <c r="V89" s="300">
        <v>14</v>
      </c>
      <c r="W89" s="300" t="s">
        <v>19</v>
      </c>
      <c r="X89" s="300">
        <v>68</v>
      </c>
      <c r="Y89" s="300">
        <v>162</v>
      </c>
      <c r="Z89" s="300">
        <f>S89+T89+U89*2+V89*3</f>
        <v>309</v>
      </c>
      <c r="AA89" s="300">
        <v>2</v>
      </c>
      <c r="AB89" s="300">
        <v>16</v>
      </c>
      <c r="AC89" s="300">
        <v>5</v>
      </c>
      <c r="AD89" s="9"/>
      <c r="AE89" s="37"/>
      <c r="AF89" s="37"/>
      <c r="AG89" s="37"/>
      <c r="AH89" s="38"/>
    </row>
    <row r="90" spans="1:34" x14ac:dyDescent="0.2">
      <c r="A90" s="9"/>
      <c r="B90" s="301">
        <v>2020</v>
      </c>
      <c r="C90" s="302" t="s">
        <v>470</v>
      </c>
      <c r="D90" s="314">
        <f>(S90-V90)/(Q90-V90-Y90+AC90)</f>
        <v>0.19444444444444445</v>
      </c>
      <c r="E90" s="314">
        <f>Z90/P90</f>
        <v>0.14000000000000001</v>
      </c>
      <c r="F90" s="303">
        <f>(T90+U90+V90)/S90</f>
        <v>0.375</v>
      </c>
      <c r="G90" s="314">
        <f>(Z90+R90)/P90</f>
        <v>0.18</v>
      </c>
      <c r="H90" s="314">
        <f>(Z90/Q90)+((S90+X90+AA90)/(Q90+X90+AA90+AC90))</f>
        <v>0.33555555555555555</v>
      </c>
      <c r="I90" s="303">
        <f>V90/Z90</f>
        <v>7.1428571428571425E-2</v>
      </c>
      <c r="J90" s="303">
        <f>(AB90+AC90)/Z90</f>
        <v>0</v>
      </c>
      <c r="K90" s="314">
        <f>Y90/P90</f>
        <v>0.53</v>
      </c>
      <c r="L90" s="303">
        <f>(X90+AA90)/P90</f>
        <v>0.1</v>
      </c>
      <c r="M90" s="315">
        <f>(1-D90*0.7635+1-E90*0.7562+1-F90*0.75+1-G90*0.7248+1-H90*0.7021+1-I90*0.6285+J90*0.5884+K90*0.5276+1-L90*0.3663)/11.068</f>
        <v>0.56888970491220225</v>
      </c>
      <c r="N90" s="316">
        <f>M90/0.4854*100</f>
        <v>117.20018642608206</v>
      </c>
      <c r="O90" s="307">
        <f>(N90-100)/100*P90*0.6611</f>
        <v>11.371043246282847</v>
      </c>
      <c r="P90" s="300">
        <v>100</v>
      </c>
      <c r="Q90" s="300">
        <f>P90-X90-AA90-AB90-AC90</f>
        <v>90</v>
      </c>
      <c r="R90" s="300">
        <v>4</v>
      </c>
      <c r="S90" s="300">
        <v>8</v>
      </c>
      <c r="T90" s="300">
        <v>1</v>
      </c>
      <c r="U90" s="300">
        <v>1</v>
      </c>
      <c r="V90" s="300">
        <v>1</v>
      </c>
      <c r="W90" s="300" t="s">
        <v>19</v>
      </c>
      <c r="X90" s="300">
        <v>9</v>
      </c>
      <c r="Y90" s="300">
        <v>53</v>
      </c>
      <c r="Z90" s="300">
        <f>S90+T90+U90*2+V90*3</f>
        <v>14</v>
      </c>
      <c r="AA90" s="300">
        <v>1</v>
      </c>
      <c r="AB90" s="300">
        <v>0</v>
      </c>
      <c r="AC90" s="300">
        <v>0</v>
      </c>
      <c r="AD90" s="9"/>
      <c r="AE90" s="37"/>
      <c r="AF90" s="37"/>
      <c r="AG90" s="37"/>
      <c r="AH90" s="38"/>
    </row>
    <row r="91" spans="1:34" x14ac:dyDescent="0.2">
      <c r="A91" s="9"/>
      <c r="B91" s="298">
        <v>1962</v>
      </c>
      <c r="C91" s="299" t="s">
        <v>596</v>
      </c>
      <c r="D91" s="292">
        <f>(S91-V91)/(Q91-V91-Y91+AC91)</f>
        <v>0.29532710280373831</v>
      </c>
      <c r="E91" s="292">
        <f>Z91/P91</f>
        <v>0.3848314606741573</v>
      </c>
      <c r="F91" s="292">
        <f>(T91+U91+V91)/S91</f>
        <v>0.28651685393258425</v>
      </c>
      <c r="G91" s="292">
        <f>(Z91+W91)/P91</f>
        <v>0.5154494382022472</v>
      </c>
      <c r="H91" s="292">
        <f>(Z91/Q91)+((S91+X91+AA91)/(Q91+X91+AA91+AC91))</f>
        <v>0.79988946945337625</v>
      </c>
      <c r="I91" s="292">
        <f>V91/Z91</f>
        <v>7.2992700729927001E-2</v>
      </c>
      <c r="J91" s="292">
        <f>(AB91+AC91)/Z91</f>
        <v>5.4744525547445258E-2</v>
      </c>
      <c r="K91" s="292">
        <f>Y91/P91</f>
        <v>0.10393258426966293</v>
      </c>
      <c r="L91" s="292">
        <f>(X91+AA91)/P91</f>
        <v>0.10533707865168539</v>
      </c>
      <c r="M91" s="293">
        <f>(D91*0.7635+E91*0.7562+F91*0.75+G91*0.7248+H91*0.7021+I91*0.6285+1-J91*0.5884+1-K91*0.5276+L91*0.3663)/6.931</f>
        <v>0.52863857413651349</v>
      </c>
      <c r="N91" s="294">
        <f>M91/0.5055*100</f>
        <v>104.57736382522522</v>
      </c>
      <c r="O91" s="286">
        <f>(N91-100)/100*P91*0.3389</f>
        <v>11.045032434626048</v>
      </c>
      <c r="P91" s="300">
        <v>712</v>
      </c>
      <c r="Q91" s="300">
        <f>P91-X91-AA91-AB91-AC91</f>
        <v>622</v>
      </c>
      <c r="R91" s="300" t="s">
        <v>19</v>
      </c>
      <c r="S91" s="300">
        <v>178</v>
      </c>
      <c r="T91" s="300">
        <v>26</v>
      </c>
      <c r="U91" s="300">
        <v>5</v>
      </c>
      <c r="V91" s="300">
        <v>20</v>
      </c>
      <c r="W91" s="300">
        <v>93</v>
      </c>
      <c r="X91" s="300">
        <v>67</v>
      </c>
      <c r="Y91" s="300">
        <v>74</v>
      </c>
      <c r="Z91" s="300">
        <f>S91+T91+U91*2+V91*3</f>
        <v>274</v>
      </c>
      <c r="AA91" s="300">
        <v>8</v>
      </c>
      <c r="AB91" s="300">
        <v>8</v>
      </c>
      <c r="AC91" s="300">
        <v>7</v>
      </c>
      <c r="AD91" s="9"/>
      <c r="AE91" s="37"/>
      <c r="AF91" s="37"/>
      <c r="AG91" s="37"/>
      <c r="AH91" s="38"/>
    </row>
    <row r="92" spans="1:34" x14ac:dyDescent="0.2">
      <c r="A92" s="9"/>
      <c r="B92" s="298">
        <v>1954</v>
      </c>
      <c r="C92" s="299" t="s">
        <v>608</v>
      </c>
      <c r="D92" s="292">
        <f>(S92-V92)/(Q92-V92-Y92+AC92)</f>
        <v>0.32495511669658889</v>
      </c>
      <c r="E92" s="292">
        <f>Z92/P92</f>
        <v>0.38547486033519551</v>
      </c>
      <c r="F92" s="292">
        <f>(T92+U92+V92)/S92</f>
        <v>0.25906735751295334</v>
      </c>
      <c r="G92" s="292">
        <f>(Z92+W92)/P92</f>
        <v>0.49162011173184356</v>
      </c>
      <c r="H92" s="292">
        <f>(Z92/Q92)+((S92+X92+AA92)/(Q92+X92+AA92+AC92))</f>
        <v>0.80579412867509204</v>
      </c>
      <c r="I92" s="292">
        <f>V92/Z92</f>
        <v>4.3478260869565216E-2</v>
      </c>
      <c r="J92" s="292">
        <f>(AB92+AC92)/Z92</f>
        <v>3.2608695652173912E-2</v>
      </c>
      <c r="K92" s="292">
        <f>Y92/P92</f>
        <v>0.10195530726256984</v>
      </c>
      <c r="L92" s="292">
        <f>(X92+AA92)/P92</f>
        <v>0.1005586592178771</v>
      </c>
      <c r="M92" s="293">
        <f>(D92*0.7635+E92*0.7562+F92*0.75+G92*0.7248+H92*0.7021+I92*0.6285+1-J92*0.5884+1-K92*0.5276+L92*0.3663)/6.931</f>
        <v>0.52620924845456885</v>
      </c>
      <c r="N92" s="294">
        <f>M92/0.504*100</f>
        <v>104.40659691558905</v>
      </c>
      <c r="O92" s="286">
        <f>(N92-100)/100*P92*0.3389</f>
        <v>10.692713174002799</v>
      </c>
      <c r="P92" s="300">
        <v>716</v>
      </c>
      <c r="Q92" s="300">
        <f>P92-X92-AA92-AB92-AC92</f>
        <v>635</v>
      </c>
      <c r="R92" s="300" t="s">
        <v>19</v>
      </c>
      <c r="S92" s="300">
        <v>193</v>
      </c>
      <c r="T92" s="300">
        <v>29</v>
      </c>
      <c r="U92" s="300">
        <v>9</v>
      </c>
      <c r="V92" s="300">
        <v>12</v>
      </c>
      <c r="W92" s="300">
        <v>76</v>
      </c>
      <c r="X92" s="300">
        <v>71</v>
      </c>
      <c r="Y92" s="300">
        <v>73</v>
      </c>
      <c r="Z92" s="300">
        <f>S92+T92+U92*2+V92*3</f>
        <v>276</v>
      </c>
      <c r="AA92" s="300">
        <v>1</v>
      </c>
      <c r="AB92" s="300">
        <v>2</v>
      </c>
      <c r="AC92" s="300">
        <v>7</v>
      </c>
      <c r="AD92" s="9"/>
      <c r="AE92" s="37"/>
      <c r="AF92" s="37"/>
      <c r="AG92" s="37"/>
      <c r="AH92" s="38"/>
    </row>
    <row r="93" spans="1:34" x14ac:dyDescent="0.2">
      <c r="A93" s="9"/>
      <c r="B93" s="298">
        <v>2013</v>
      </c>
      <c r="C93" s="299" t="s">
        <v>525</v>
      </c>
      <c r="D93" s="292">
        <f>(S93-V93)/(Q93-V93-Y93+AC93)</f>
        <v>0.36170212765957449</v>
      </c>
      <c r="E93" s="292">
        <f>Z93/P93</f>
        <v>0.42895442359249331</v>
      </c>
      <c r="F93" s="292">
        <f>(T93+U93+V93)/S93</f>
        <v>0.36734693877551022</v>
      </c>
      <c r="G93" s="292">
        <f>(Z93+W93)/P93</f>
        <v>0.57104557640750675</v>
      </c>
      <c r="H93" s="292">
        <f>(Z93/Q93)+((S93+X93+AA93)/(Q93+X93+AA93+AC93))</f>
        <v>0.83149933976231449</v>
      </c>
      <c r="I93" s="292">
        <f>V93/Z93</f>
        <v>8.1250000000000003E-2</v>
      </c>
      <c r="J93" s="292">
        <f>(AB93+AC93)/Z93</f>
        <v>2.5000000000000001E-2</v>
      </c>
      <c r="K93" s="292">
        <f>Y93/P93</f>
        <v>0.24396782841823056</v>
      </c>
      <c r="L93" s="292">
        <f>(X93+AA93)/P93</f>
        <v>9.1152815013404831E-2</v>
      </c>
      <c r="M93" s="293">
        <f>(D93*0.7635+E93*0.7562+F93*0.75+G93*0.7248+H93*0.7021+I93*0.6285+1-J93*0.5884+1-K93*0.5276+L93*0.3663)/6.931</f>
        <v>0.55039130122112168</v>
      </c>
      <c r="N93" s="294">
        <f>M93/0.5083*100</f>
        <v>108.28079898113745</v>
      </c>
      <c r="O93" s="286">
        <f>(N93-100)/100*P93*0.3389</f>
        <v>10.467733149658908</v>
      </c>
      <c r="P93" s="300">
        <v>373</v>
      </c>
      <c r="Q93" s="300">
        <f>P93-X93-AA93-AB93-AC93</f>
        <v>335</v>
      </c>
      <c r="R93" s="300" t="s">
        <v>19</v>
      </c>
      <c r="S93" s="300">
        <v>98</v>
      </c>
      <c r="T93" s="300">
        <v>23</v>
      </c>
      <c r="U93" s="300">
        <v>0</v>
      </c>
      <c r="V93" s="300">
        <v>13</v>
      </c>
      <c r="W93" s="300">
        <v>53</v>
      </c>
      <c r="X93" s="300">
        <v>33</v>
      </c>
      <c r="Y93" s="300">
        <v>91</v>
      </c>
      <c r="Z93" s="300">
        <f>S93+T93+U93*2+V93*3</f>
        <v>160</v>
      </c>
      <c r="AA93" s="300">
        <v>1</v>
      </c>
      <c r="AB93" s="300">
        <v>0</v>
      </c>
      <c r="AC93" s="300">
        <v>4</v>
      </c>
      <c r="AD93" s="9"/>
      <c r="AE93" s="37"/>
      <c r="AF93" s="37"/>
      <c r="AG93" s="37"/>
      <c r="AH93" s="38"/>
    </row>
    <row r="94" spans="1:34" x14ac:dyDescent="0.2">
      <c r="A94" s="9"/>
      <c r="B94" s="298">
        <v>2006</v>
      </c>
      <c r="C94" s="299" t="s">
        <v>532</v>
      </c>
      <c r="D94" s="292">
        <f>(S94-V94)/(Q94-V94-Y94+AC94)</f>
        <v>0.34285714285714286</v>
      </c>
      <c r="E94" s="292">
        <f>Z94/P94</f>
        <v>0.43428571428571427</v>
      </c>
      <c r="F94" s="292">
        <f>(T94+U94+V94)/S94</f>
        <v>0.4</v>
      </c>
      <c r="G94" s="292">
        <f>(Z94+W94)/P94</f>
        <v>0.51857142857142857</v>
      </c>
      <c r="H94" s="292">
        <f>(Z94/Q94)+((S94+X94+AA94)/(Q94+X94+AA94+AC94))</f>
        <v>0.83277075022446501</v>
      </c>
      <c r="I94" s="292">
        <f>V94/Z94</f>
        <v>5.5921052631578948E-2</v>
      </c>
      <c r="J94" s="292">
        <f>(AB94+AC94)/Z94</f>
        <v>2.3026315789473683E-2</v>
      </c>
      <c r="K94" s="292">
        <f>Y94/P94</f>
        <v>0.18285714285714286</v>
      </c>
      <c r="L94" s="292">
        <f>(X94+AA94)/P94</f>
        <v>8.5714285714285715E-2</v>
      </c>
      <c r="M94" s="293">
        <f>(D94*0.7635+E94*0.7562+F94*0.75+G94*0.7248+H94*0.7021+I94*0.6285+1-J94*0.5884+1-K94*0.5276+L94*0.3663)/6.931</f>
        <v>0.54930697049914723</v>
      </c>
      <c r="N94" s="294">
        <f>M94/0.5267*100</f>
        <v>104.29219109533838</v>
      </c>
      <c r="O94" s="286">
        <f>(N94-100)/100*P94*0.3389</f>
        <v>10.182364935471242</v>
      </c>
      <c r="P94" s="300">
        <v>700</v>
      </c>
      <c r="Q94" s="300">
        <f>P94-X94-AA94-AB94-AC94</f>
        <v>633</v>
      </c>
      <c r="R94" s="300" t="s">
        <v>19</v>
      </c>
      <c r="S94" s="300">
        <v>185</v>
      </c>
      <c r="T94" s="300">
        <v>46</v>
      </c>
      <c r="U94" s="300">
        <v>11</v>
      </c>
      <c r="V94" s="300">
        <v>17</v>
      </c>
      <c r="W94" s="300">
        <v>59</v>
      </c>
      <c r="X94" s="300">
        <v>56</v>
      </c>
      <c r="Y94" s="300">
        <v>128</v>
      </c>
      <c r="Z94" s="300">
        <f>S94+T94+U94*2+V94*3</f>
        <v>304</v>
      </c>
      <c r="AA94" s="300">
        <v>4</v>
      </c>
      <c r="AB94" s="300">
        <v>5</v>
      </c>
      <c r="AC94" s="300">
        <v>2</v>
      </c>
      <c r="AD94" s="9"/>
      <c r="AE94" s="37"/>
      <c r="AF94" s="37"/>
      <c r="AG94" s="37"/>
      <c r="AH94" s="38"/>
    </row>
    <row r="95" spans="1:34" x14ac:dyDescent="0.2">
      <c r="A95" s="9"/>
      <c r="B95" s="301">
        <v>1976</v>
      </c>
      <c r="C95" s="302" t="s">
        <v>577</v>
      </c>
      <c r="D95" s="303">
        <f>(S95-V95)/(Q95-V95-Y95+AC95)</f>
        <v>0.30727762803234504</v>
      </c>
      <c r="E95" s="303">
        <f>Z95/P95</f>
        <v>0.28219696969696972</v>
      </c>
      <c r="F95" s="303">
        <f>(T95+U95+V95)/S95</f>
        <v>0.16806722689075632</v>
      </c>
      <c r="G95" s="303">
        <f>(Z95+R95)/P95</f>
        <v>0.36553030303030304</v>
      </c>
      <c r="H95" s="303">
        <f>(Z95/Q95)+((S95+X95+AA95)/(Q95+X95+AA95+AC95))</f>
        <v>0.65782579676288999</v>
      </c>
      <c r="I95" s="303">
        <f>V95/Z95</f>
        <v>3.3557046979865772E-2</v>
      </c>
      <c r="J95" s="303">
        <f>(AB95+AC95)/Z95</f>
        <v>8.0536912751677847E-2</v>
      </c>
      <c r="K95" s="303">
        <f>Y95/P95</f>
        <v>0.16856060606060605</v>
      </c>
      <c r="L95" s="303">
        <f>(X95+AA95)/P95</f>
        <v>0.10416666666666667</v>
      </c>
      <c r="M95" s="304">
        <f>(1-D95*0.7635+1-E95*0.7562+1-F95*0.75+1-G95*0.7248+1-H95*0.7021+1-I95*0.6285+J95*0.5884+K95*0.5276+1-L95*0.3663)/11.068</f>
        <v>0.52188503324851987</v>
      </c>
      <c r="N95" s="308">
        <f>M95/0.5072*100</f>
        <v>102.89531412628547</v>
      </c>
      <c r="O95" s="307">
        <f>(N95-100)/100*P95*0.6611</f>
        <v>10.106406651725074</v>
      </c>
      <c r="P95" s="300">
        <v>528</v>
      </c>
      <c r="Q95" s="300">
        <f>P95-X95-AA95-AB95-AC95</f>
        <v>461</v>
      </c>
      <c r="R95" s="300">
        <v>44</v>
      </c>
      <c r="S95" s="300">
        <v>119</v>
      </c>
      <c r="T95" s="300">
        <v>15</v>
      </c>
      <c r="U95" s="300">
        <v>0</v>
      </c>
      <c r="V95" s="300">
        <v>5</v>
      </c>
      <c r="W95" s="300" t="s">
        <v>19</v>
      </c>
      <c r="X95" s="300">
        <v>52</v>
      </c>
      <c r="Y95" s="300">
        <v>89</v>
      </c>
      <c r="Z95" s="300">
        <f>S95+T95+U95*2+V95*3</f>
        <v>149</v>
      </c>
      <c r="AA95" s="300">
        <v>3</v>
      </c>
      <c r="AB95" s="300">
        <v>8</v>
      </c>
      <c r="AC95" s="300">
        <v>4</v>
      </c>
      <c r="AD95" s="9"/>
      <c r="AE95" s="37"/>
      <c r="AF95" s="37"/>
      <c r="AG95" s="37"/>
      <c r="AH95" s="38"/>
    </row>
    <row r="96" spans="1:34" x14ac:dyDescent="0.2">
      <c r="A96" s="9"/>
      <c r="B96" s="301">
        <v>1986</v>
      </c>
      <c r="C96" s="302" t="s">
        <v>509</v>
      </c>
      <c r="D96" s="303">
        <f>(S96-V96)/(Q96-V96-Y96+AC96)</f>
        <v>0.25752508361204013</v>
      </c>
      <c r="E96" s="303">
        <f>Z96/P96</f>
        <v>0.30697674418604654</v>
      </c>
      <c r="F96" s="303">
        <f>(T96+U96+V96)/S96</f>
        <v>0.31395348837209303</v>
      </c>
      <c r="G96" s="303">
        <f>(Z96+R96)/P96</f>
        <v>0.37441860465116278</v>
      </c>
      <c r="H96" s="303">
        <f>(Z96/Q96)+((S96+X96+AA96)/(Q96+X96+AA96+AC96))</f>
        <v>0.65460047281323874</v>
      </c>
      <c r="I96" s="303">
        <f>V96/Z96</f>
        <v>6.8181818181818177E-2</v>
      </c>
      <c r="J96" s="303">
        <f>(AB96+AC96)/Z96</f>
        <v>9.8484848484848481E-2</v>
      </c>
      <c r="K96" s="303">
        <f>Y96/P96</f>
        <v>0.16976744186046511</v>
      </c>
      <c r="L96" s="303">
        <f>(X96+AA96)/P96</f>
        <v>9.7674418604651161E-2</v>
      </c>
      <c r="M96" s="304">
        <f>(1-D96*0.7635+1-E96*0.7562+1-F96*0.75+1-G96*0.7248+1-H96*0.7021+1-I96*0.6285+J96*0.5884+K96*0.5276+1-L96*0.3663)/11.068</f>
        <v>0.51262129081389785</v>
      </c>
      <c r="N96" s="308">
        <f>M96/0.4953*100</f>
        <v>103.49713119602217</v>
      </c>
      <c r="O96" s="307">
        <f>(N96-100)/100*P96*0.6611</f>
        <v>9.9413997648680947</v>
      </c>
      <c r="P96" s="300">
        <v>430</v>
      </c>
      <c r="Q96" s="300">
        <f>P96-X96-AA96-AB96-AC96</f>
        <v>375</v>
      </c>
      <c r="R96" s="300">
        <v>29</v>
      </c>
      <c r="S96" s="300">
        <v>86</v>
      </c>
      <c r="T96" s="300">
        <v>17</v>
      </c>
      <c r="U96" s="300">
        <v>1</v>
      </c>
      <c r="V96" s="300">
        <v>9</v>
      </c>
      <c r="W96" s="300" t="s">
        <v>19</v>
      </c>
      <c r="X96" s="300">
        <v>41</v>
      </c>
      <c r="Y96" s="300">
        <v>73</v>
      </c>
      <c r="Z96" s="300">
        <f>S96+T96+U96*2+V96*3</f>
        <v>132</v>
      </c>
      <c r="AA96" s="300">
        <v>1</v>
      </c>
      <c r="AB96" s="300">
        <v>7</v>
      </c>
      <c r="AC96" s="300">
        <v>6</v>
      </c>
      <c r="AD96" s="9"/>
      <c r="AE96" s="37"/>
      <c r="AF96" s="37"/>
      <c r="AG96" s="37"/>
      <c r="AH96" s="38"/>
    </row>
    <row r="97" spans="1:34" x14ac:dyDescent="0.2">
      <c r="A97" s="9"/>
      <c r="B97" s="298">
        <v>1974</v>
      </c>
      <c r="C97" s="299" t="s">
        <v>580</v>
      </c>
      <c r="D97" s="292">
        <f>(S97-V97)/(Q97-V97-Y97+AC97)</f>
        <v>0.34759358288770054</v>
      </c>
      <c r="E97" s="292">
        <f>Z97/P97</f>
        <v>0.36897274633123689</v>
      </c>
      <c r="F97" s="292">
        <f>(T97+U97+V97)/S97</f>
        <v>0.20895522388059701</v>
      </c>
      <c r="G97" s="292">
        <f>(Z97+W97)/P97</f>
        <v>0.5073375262054507</v>
      </c>
      <c r="H97" s="292">
        <f>(Z97/Q97)+((S97+X97+AA97)/(Q97+X97+AA97+AC97))</f>
        <v>0.81944522275147103</v>
      </c>
      <c r="I97" s="292">
        <f>V97/Z97</f>
        <v>2.2727272727272728E-2</v>
      </c>
      <c r="J97" s="292">
        <f>(AB97+AC97)/Z97</f>
        <v>5.113636363636364E-2</v>
      </c>
      <c r="K97" s="292">
        <f>Y97/P97</f>
        <v>8.8050314465408799E-2</v>
      </c>
      <c r="L97" s="292">
        <f>(X97+AA97)/P97</f>
        <v>0.1111111111111111</v>
      </c>
      <c r="M97" s="293">
        <f>(D97*0.7635+E97*0.7562+F97*0.75+G97*0.7248+H97*0.7021+I97*0.6285+1-J97*0.5884+1-K97*0.5276+L97*0.3663)/6.931</f>
        <v>0.52266803458980116</v>
      </c>
      <c r="N97" s="294">
        <f>M97/0.4929*100</f>
        <v>106.03936591393814</v>
      </c>
      <c r="O97" s="286">
        <f>(N97-100)/100*P97*0.3389</f>
        <v>9.7629550862744434</v>
      </c>
      <c r="P97" s="300">
        <v>477</v>
      </c>
      <c r="Q97" s="300">
        <f>P97-X97-AA97-AB97-AC97</f>
        <v>415</v>
      </c>
      <c r="R97" s="300" t="s">
        <v>19</v>
      </c>
      <c r="S97" s="300">
        <v>134</v>
      </c>
      <c r="T97" s="300">
        <v>18</v>
      </c>
      <c r="U97" s="300">
        <v>6</v>
      </c>
      <c r="V97" s="300">
        <v>4</v>
      </c>
      <c r="W97" s="300">
        <v>66</v>
      </c>
      <c r="X97" s="300">
        <v>49</v>
      </c>
      <c r="Y97" s="300">
        <v>42</v>
      </c>
      <c r="Z97" s="300">
        <f>S97+T97+U97*2+V97*3</f>
        <v>176</v>
      </c>
      <c r="AA97" s="300">
        <v>4</v>
      </c>
      <c r="AB97" s="300">
        <v>4</v>
      </c>
      <c r="AC97" s="300">
        <v>5</v>
      </c>
      <c r="AD97" s="9"/>
      <c r="AE97" s="37"/>
      <c r="AF97" s="37"/>
      <c r="AG97" s="37"/>
      <c r="AH97" s="38"/>
    </row>
    <row r="98" spans="1:34" x14ac:dyDescent="0.2">
      <c r="A98" s="9"/>
      <c r="B98" s="298">
        <v>1987</v>
      </c>
      <c r="C98" s="299" t="s">
        <v>563</v>
      </c>
      <c r="D98" s="292">
        <f>(S98-V98)/(Q98-V98-Y98+AC98)</f>
        <v>0.34761904761904761</v>
      </c>
      <c r="E98" s="292">
        <f>Z98/P98</f>
        <v>0.44580419580419578</v>
      </c>
      <c r="F98" s="292">
        <f>(T98+U98+V98)/S98</f>
        <v>0.32317073170731708</v>
      </c>
      <c r="G98" s="292">
        <f>(Z98+W98)/P98</f>
        <v>0.58391608391608396</v>
      </c>
      <c r="H98" s="292">
        <f>(Z98/Q98)+((S98+X98+AA98)/(Q98+X98+AA98+AC98))</f>
        <v>0.79102596177902651</v>
      </c>
      <c r="I98" s="292">
        <f>V98/Z98</f>
        <v>7.0588235294117646E-2</v>
      </c>
      <c r="J98" s="292">
        <f>(AB98+AC98)/Z98</f>
        <v>1.9607843137254902E-2</v>
      </c>
      <c r="K98" s="292">
        <f>Y98/P98</f>
        <v>0.19580419580419581</v>
      </c>
      <c r="L98" s="292">
        <f>(X98+AA98)/P98</f>
        <v>3.6713286713286712E-2</v>
      </c>
      <c r="M98" s="293">
        <f>(D98*0.7635+E98*0.7562+F98*0.75+G98*0.7248+H98*0.7021+I98*0.6285+1-J98*0.5884+1-K98*0.5276+L98*0.3663)/6.931</f>
        <v>0.54342421931746798</v>
      </c>
      <c r="N98" s="294">
        <f>M98/0.5181*100</f>
        <v>104.88790181769309</v>
      </c>
      <c r="O98" s="286">
        <f>(N98-100)/100*P98*0.3389</f>
        <v>9.4752367768125989</v>
      </c>
      <c r="P98" s="300">
        <v>572</v>
      </c>
      <c r="Q98" s="300">
        <f>P98-X98-AA98-AB98-AC98</f>
        <v>546</v>
      </c>
      <c r="R98" s="300" t="s">
        <v>19</v>
      </c>
      <c r="S98" s="300">
        <v>164</v>
      </c>
      <c r="T98" s="300">
        <v>33</v>
      </c>
      <c r="U98" s="300">
        <v>2</v>
      </c>
      <c r="V98" s="300">
        <v>18</v>
      </c>
      <c r="W98" s="300">
        <v>79</v>
      </c>
      <c r="X98" s="300">
        <v>16</v>
      </c>
      <c r="Y98" s="300">
        <v>112</v>
      </c>
      <c r="Z98" s="300">
        <f>S98+T98+U98*2+V98*3</f>
        <v>255</v>
      </c>
      <c r="AA98" s="300">
        <v>5</v>
      </c>
      <c r="AB98" s="300">
        <v>1</v>
      </c>
      <c r="AC98" s="300">
        <v>4</v>
      </c>
      <c r="AD98" s="9"/>
      <c r="AE98" s="37"/>
      <c r="AF98" s="37"/>
      <c r="AG98" s="37"/>
      <c r="AH98" s="38"/>
    </row>
    <row r="99" spans="1:34" x14ac:dyDescent="0.2">
      <c r="A99" s="9"/>
      <c r="B99" s="298">
        <v>1967</v>
      </c>
      <c r="C99" s="299" t="s">
        <v>110</v>
      </c>
      <c r="D99" s="292">
        <f>(S99-V99)/(Q99-V99-Y99+AC99)</f>
        <v>0.34134615384615385</v>
      </c>
      <c r="E99" s="292">
        <f>Z99/P99</f>
        <v>0.37433155080213903</v>
      </c>
      <c r="F99" s="292">
        <f>(T99+U99+V99)/S99</f>
        <v>0.24666666666666667</v>
      </c>
      <c r="G99" s="292">
        <f>(Z99+W99)/P99</f>
        <v>0.46524064171122997</v>
      </c>
      <c r="H99" s="292">
        <f>(Z99/Q99)+((S99+X99+AA99)/(Q99+X99+AA99+AC99))</f>
        <v>0.74971554594108647</v>
      </c>
      <c r="I99" s="292">
        <f>V99/Z99</f>
        <v>3.8095238095238099E-2</v>
      </c>
      <c r="J99" s="292">
        <f>(AB99+AC99)/Z99</f>
        <v>3.8095238095238099E-2</v>
      </c>
      <c r="K99" s="292">
        <f>Y99/P99</f>
        <v>0.16221033868092691</v>
      </c>
      <c r="L99" s="292">
        <f>(X99+AA99)/P99</f>
        <v>6.9518716577540107E-2</v>
      </c>
      <c r="M99" s="293">
        <f>(D99*0.7635+E99*0.7562+F99*0.75+G99*0.7248+H99*0.7021+I99*0.6285+1-J99*0.5884+1-K99*0.5276+L99*0.3663)/6.931</f>
        <v>0.50983684307279853</v>
      </c>
      <c r="N99" s="294">
        <f>M99/0.4863*100</f>
        <v>104.83998418112246</v>
      </c>
      <c r="O99" s="286">
        <f>(N99-100)/100*P99*0.3389</f>
        <v>9.2019182846912742</v>
      </c>
      <c r="P99" s="300">
        <v>561</v>
      </c>
      <c r="Q99" s="300">
        <f>P99-X99-AA99-AB99-AC99</f>
        <v>514</v>
      </c>
      <c r="R99" s="300" t="s">
        <v>19</v>
      </c>
      <c r="S99" s="300">
        <v>150</v>
      </c>
      <c r="T99" s="300">
        <v>22</v>
      </c>
      <c r="U99" s="300">
        <v>7</v>
      </c>
      <c r="V99" s="300">
        <v>8</v>
      </c>
      <c r="W99" s="300">
        <v>51</v>
      </c>
      <c r="X99" s="300">
        <v>37</v>
      </c>
      <c r="Y99" s="300">
        <v>91</v>
      </c>
      <c r="Z99" s="300">
        <f>S99+T99+U99*2+V99*3</f>
        <v>210</v>
      </c>
      <c r="AA99" s="300">
        <v>2</v>
      </c>
      <c r="AB99" s="300">
        <v>7</v>
      </c>
      <c r="AC99" s="300">
        <v>1</v>
      </c>
      <c r="AD99" s="9"/>
      <c r="AE99" s="37"/>
      <c r="AF99" s="37"/>
      <c r="AG99" s="37"/>
      <c r="AH99" s="38"/>
    </row>
    <row r="100" spans="1:34" x14ac:dyDescent="0.2">
      <c r="A100" s="9"/>
      <c r="B100" s="298">
        <v>1948</v>
      </c>
      <c r="C100" s="299" t="s">
        <v>617</v>
      </c>
      <c r="D100" s="292">
        <f>(S100-V100)/(Q100-V100-Y100+AC100)</f>
        <v>0.33992094861660077</v>
      </c>
      <c r="E100" s="292">
        <f>Z100/P100</f>
        <v>0.40447504302925991</v>
      </c>
      <c r="F100" s="292">
        <f>(T100+U100+V100)/S100</f>
        <v>0.2742857142857143</v>
      </c>
      <c r="G100" s="292">
        <f>(Z100+W100)/P100</f>
        <v>0.48709122203098104</v>
      </c>
      <c r="H100" s="292">
        <f>(Z100/Q100)+((S100+X100+AA100)/(Q100+X100+AA100+AC100))</f>
        <v>0.78719919569306607</v>
      </c>
      <c r="I100" s="292">
        <f>V100/Z100</f>
        <v>1.276595744680851E-2</v>
      </c>
      <c r="J100" s="292">
        <f>(AB100+AC100)/Z100</f>
        <v>6.3829787234042548E-2</v>
      </c>
      <c r="K100" s="292">
        <f>Y100/P100</f>
        <v>6.1962134251290879E-2</v>
      </c>
      <c r="L100" s="292">
        <f>(X100+AA100)/P100</f>
        <v>4.4750430292598967E-2</v>
      </c>
      <c r="M100" s="293">
        <f>(D100*0.7635+E100*0.7562+F100*0.75+G100*0.7248+H100*0.7021+I100*0.6285+1-J100*0.5884+1-K100*0.5276+L100*0.3663)/6.931</f>
        <v>0.52387982233125807</v>
      </c>
      <c r="N100" s="294">
        <f>M100/0.5008*100</f>
        <v>104.60859072109785</v>
      </c>
      <c r="O100" s="286">
        <f>(N100-100)/100*P100*0.3389</f>
        <v>9.0743566071581654</v>
      </c>
      <c r="P100" s="300">
        <v>581</v>
      </c>
      <c r="Q100" s="311">
        <f>P100-X100-AA100-AB100-AC100</f>
        <v>540</v>
      </c>
      <c r="R100" s="300" t="s">
        <v>19</v>
      </c>
      <c r="S100" s="300">
        <v>175</v>
      </c>
      <c r="T100" s="300">
        <v>39</v>
      </c>
      <c r="U100" s="300">
        <v>6</v>
      </c>
      <c r="V100" s="300">
        <v>3</v>
      </c>
      <c r="W100" s="300">
        <v>48</v>
      </c>
      <c r="X100" s="300">
        <v>24</v>
      </c>
      <c r="Y100" s="300">
        <v>36</v>
      </c>
      <c r="Z100" s="300">
        <f>S100+T100+U100*2+V100*3</f>
        <v>235</v>
      </c>
      <c r="AA100" s="300">
        <v>2</v>
      </c>
      <c r="AB100" s="300">
        <v>10</v>
      </c>
      <c r="AC100" s="311">
        <v>5</v>
      </c>
      <c r="AD100" s="9"/>
      <c r="AE100" s="37"/>
      <c r="AF100" s="37"/>
      <c r="AG100" s="37"/>
      <c r="AH100" s="38"/>
    </row>
    <row r="101" spans="1:34" x14ac:dyDescent="0.2">
      <c r="A101" s="9"/>
      <c r="B101" s="301">
        <v>2003</v>
      </c>
      <c r="C101" s="302" t="s">
        <v>537</v>
      </c>
      <c r="D101" s="303">
        <f>(S101-V101)/(Q101-V101-Y101+AC101)</f>
        <v>0.30066815144766146</v>
      </c>
      <c r="E101" s="303">
        <f>Z101/P101</f>
        <v>0.3473053892215569</v>
      </c>
      <c r="F101" s="303">
        <f>(T101+U101+V101)/S101</f>
        <v>0.35135135135135137</v>
      </c>
      <c r="G101" s="303">
        <f>(Z101+R101)/P101</f>
        <v>0.43862275449101795</v>
      </c>
      <c r="H101" s="303">
        <f>(Z101/Q101)+((S101+X101+AA101)/(Q101+X101+AA101+AC101))</f>
        <v>0.69902866619284532</v>
      </c>
      <c r="I101" s="303">
        <f>V101/Z101</f>
        <v>5.6034482758620691E-2</v>
      </c>
      <c r="J101" s="303">
        <f>(AB101+AC101)/Z101</f>
        <v>1.7241379310344827E-2</v>
      </c>
      <c r="K101" s="303">
        <f>Y101/P101</f>
        <v>0.21257485029940121</v>
      </c>
      <c r="L101" s="303">
        <f>(X101+AA101)/P101</f>
        <v>9.1317365269461076E-2</v>
      </c>
      <c r="M101" s="304">
        <f>(1-D101*0.7635+1-E101*0.7562+1-F101*0.75+1-G101*0.7248+1-H101*0.7021+1-I101*0.6285+J101*0.5884+K101*0.5276+1-L101*0.3663)/11.068</f>
        <v>0.49595449167238376</v>
      </c>
      <c r="N101" s="308">
        <f>M101/0.4861*100</f>
        <v>102.02725605274301</v>
      </c>
      <c r="O101" s="307">
        <f>(N101-100)/100*P101*0.6611</f>
        <v>8.9526627628089521</v>
      </c>
      <c r="P101" s="300">
        <v>668</v>
      </c>
      <c r="Q101" s="300">
        <f>P101-X101-AA101-AB101-AC101</f>
        <v>603</v>
      </c>
      <c r="R101" s="300">
        <v>61</v>
      </c>
      <c r="S101" s="300">
        <v>148</v>
      </c>
      <c r="T101" s="300">
        <v>33</v>
      </c>
      <c r="U101" s="300">
        <v>6</v>
      </c>
      <c r="V101" s="300">
        <v>13</v>
      </c>
      <c r="W101" s="300" t="s">
        <v>19</v>
      </c>
      <c r="X101" s="300">
        <v>58</v>
      </c>
      <c r="Y101" s="300">
        <v>142</v>
      </c>
      <c r="Z101" s="300">
        <f>S101+T101+U101*2+V101*3</f>
        <v>232</v>
      </c>
      <c r="AA101" s="300">
        <v>3</v>
      </c>
      <c r="AB101" s="300">
        <v>3</v>
      </c>
      <c r="AC101" s="300">
        <v>1</v>
      </c>
      <c r="AD101" s="9"/>
      <c r="AE101" s="37"/>
      <c r="AF101" s="37"/>
      <c r="AG101" s="37"/>
      <c r="AH101" s="38"/>
    </row>
    <row r="102" spans="1:34" x14ac:dyDescent="0.2">
      <c r="A102" s="9"/>
      <c r="B102" s="298">
        <v>1969</v>
      </c>
      <c r="C102" s="299" t="s">
        <v>587</v>
      </c>
      <c r="D102" s="292">
        <f>(S102-V102)/(Q102-V102-Y102+AC102)</f>
        <v>0.29425287356321839</v>
      </c>
      <c r="E102" s="292">
        <f>Z102/P102</f>
        <v>0.38033395176252321</v>
      </c>
      <c r="F102" s="292">
        <f>(T102+U102+V102)/S102</f>
        <v>0.2733812949640288</v>
      </c>
      <c r="G102" s="292">
        <f>(Z102+W102)/P102</f>
        <v>0.50649350649350644</v>
      </c>
      <c r="H102" s="292">
        <f>(Z102/Q102)+((S102+X102+AA102)/(Q102+X102+AA102+AC102))</f>
        <v>0.74110031142312072</v>
      </c>
      <c r="I102" s="292">
        <f>V102/Z102</f>
        <v>5.3658536585365853E-2</v>
      </c>
      <c r="J102" s="292">
        <f>(AB102+AC102)/Z102</f>
        <v>4.878048780487805E-2</v>
      </c>
      <c r="K102" s="292">
        <f>Y102/P102</f>
        <v>0.1038961038961039</v>
      </c>
      <c r="L102" s="292">
        <f>(X102+AA102)/P102</f>
        <v>6.6790352504638217E-2</v>
      </c>
      <c r="M102" s="293">
        <f>(D102*0.7635+E102*0.7562+F102*0.75+G102*0.7248+H102*0.7021+I102*0.6285+1-J102*0.5884+1-K102*0.5276+L102*0.3663)/6.931</f>
        <v>0.51643504106108817</v>
      </c>
      <c r="N102" s="294">
        <f>M102/0.4932*100</f>
        <v>104.71107888505438</v>
      </c>
      <c r="O102" s="286">
        <f>(N102-100)/100*P102*0.3389</f>
        <v>8.6055911780411627</v>
      </c>
      <c r="P102" s="300">
        <v>539</v>
      </c>
      <c r="Q102" s="300">
        <f>P102-X102-AA102-AB102-AC102</f>
        <v>493</v>
      </c>
      <c r="R102" s="300" t="s">
        <v>19</v>
      </c>
      <c r="S102" s="300">
        <v>139</v>
      </c>
      <c r="T102" s="300">
        <v>21</v>
      </c>
      <c r="U102" s="300">
        <v>6</v>
      </c>
      <c r="V102" s="300">
        <v>11</v>
      </c>
      <c r="W102" s="300">
        <v>68</v>
      </c>
      <c r="X102" s="300">
        <v>33</v>
      </c>
      <c r="Y102" s="300">
        <v>56</v>
      </c>
      <c r="Z102" s="300">
        <f>S102+T102+U102*2+V102*3</f>
        <v>205</v>
      </c>
      <c r="AA102" s="300">
        <v>3</v>
      </c>
      <c r="AB102" s="300">
        <v>1</v>
      </c>
      <c r="AC102" s="300">
        <v>9</v>
      </c>
      <c r="AD102" s="9"/>
      <c r="AE102" s="37"/>
      <c r="AF102" s="37"/>
      <c r="AG102" s="37"/>
      <c r="AH102" s="38"/>
    </row>
    <row r="103" spans="1:34" x14ac:dyDescent="0.2">
      <c r="A103" s="9"/>
      <c r="B103" s="298">
        <v>1988</v>
      </c>
      <c r="C103" s="299" t="s">
        <v>561</v>
      </c>
      <c r="D103" s="292">
        <f>(S103-V103)/(Q103-V103-Y103+AC103)</f>
        <v>0.28183716075156579</v>
      </c>
      <c r="E103" s="292">
        <f>Z103/P103</f>
        <v>0.38316151202749144</v>
      </c>
      <c r="F103" s="292">
        <f>(T103+U103+V103)/S103</f>
        <v>0.36301369863013699</v>
      </c>
      <c r="G103" s="292">
        <f>(Z103+W103)/P103</f>
        <v>0.45876288659793812</v>
      </c>
      <c r="H103" s="292">
        <f>(Z103/Q103)+((S103+X103+AA103)/(Q103+X103+AA103+AC103))</f>
        <v>0.72818964906290073</v>
      </c>
      <c r="I103" s="292">
        <f>V103/Z103</f>
        <v>4.9327354260089683E-2</v>
      </c>
      <c r="J103" s="292">
        <f>(AB103+AC103)/Z103</f>
        <v>4.0358744394618833E-2</v>
      </c>
      <c r="K103" s="292">
        <f>Y103/P103</f>
        <v>8.9347079037800689E-2</v>
      </c>
      <c r="L103" s="292">
        <f>(X103+AA103)/P103</f>
        <v>6.0137457044673541E-2</v>
      </c>
      <c r="M103" s="293">
        <f>(D103*0.7635+E103*0.7562+F103*0.75+G103*0.7248+H103*0.7021+I103*0.6285+1-J103*0.5884+1-K103*0.5276+L103*0.3663)/6.931</f>
        <v>0.51985383970287879</v>
      </c>
      <c r="N103" s="294">
        <f>M103/0.4982*100</f>
        <v>104.34641503470068</v>
      </c>
      <c r="O103" s="286">
        <f>(N103-100)/100*P103*0.3389</f>
        <v>8.5728603216135575</v>
      </c>
      <c r="P103" s="300">
        <v>582</v>
      </c>
      <c r="Q103" s="300">
        <f>P103-X103-AA103-AB103-AC103</f>
        <v>538</v>
      </c>
      <c r="R103" s="300" t="s">
        <v>19</v>
      </c>
      <c r="S103" s="300">
        <v>146</v>
      </c>
      <c r="T103" s="300">
        <v>40</v>
      </c>
      <c r="U103" s="300">
        <v>2</v>
      </c>
      <c r="V103" s="300">
        <v>11</v>
      </c>
      <c r="W103" s="300">
        <v>44</v>
      </c>
      <c r="X103" s="300">
        <v>29</v>
      </c>
      <c r="Y103" s="300">
        <v>52</v>
      </c>
      <c r="Z103" s="300">
        <f>S103+T103+U103*2+V103*3</f>
        <v>223</v>
      </c>
      <c r="AA103" s="300">
        <v>6</v>
      </c>
      <c r="AB103" s="300">
        <v>5</v>
      </c>
      <c r="AC103" s="300">
        <v>4</v>
      </c>
      <c r="AD103" s="9"/>
      <c r="AE103" s="37"/>
      <c r="AF103" s="37"/>
      <c r="AG103" s="37"/>
      <c r="AH103" s="38"/>
    </row>
    <row r="104" spans="1:34" x14ac:dyDescent="0.2">
      <c r="A104" s="9"/>
      <c r="B104" s="298">
        <v>1971</v>
      </c>
      <c r="C104" s="299" t="s">
        <v>585</v>
      </c>
      <c r="D104" s="292">
        <f>(S104-V104)/(Q104-V104-Y104+AC104)</f>
        <v>0.32507739938080493</v>
      </c>
      <c r="E104" s="292">
        <f>Z104/P104</f>
        <v>0.36819172113289761</v>
      </c>
      <c r="F104" s="292">
        <f>(T104+U104+V104)/S104</f>
        <v>0.28947368421052633</v>
      </c>
      <c r="G104" s="292">
        <f>(Z104+W104)/P104</f>
        <v>0.47276688453159044</v>
      </c>
      <c r="H104" s="292">
        <f>(Z104/Q104)+((S104+X104+AA104)/(Q104+X104+AA104+AC104))</f>
        <v>0.74858558962326338</v>
      </c>
      <c r="I104" s="292">
        <f>V104/Z104</f>
        <v>5.3254437869822487E-2</v>
      </c>
      <c r="J104" s="292">
        <f>(AB104+AC104)/Z104</f>
        <v>1.1834319526627219E-2</v>
      </c>
      <c r="K104" s="292">
        <f>Y104/P104</f>
        <v>0.18082788671023964</v>
      </c>
      <c r="L104" s="292">
        <f>(X104+AA104)/P104</f>
        <v>9.1503267973856203E-2</v>
      </c>
      <c r="M104" s="293">
        <f>(D104*0.7635+E104*0.7562+F104*0.75+G104*0.7248+H104*0.7021+I104*0.6285+1-J104*0.5884+1-K104*0.5276+L104*0.3663)/6.931</f>
        <v>0.51602824586799068</v>
      </c>
      <c r="N104" s="294">
        <f>M104/0.4905*100</f>
        <v>105.2045353451561</v>
      </c>
      <c r="O104" s="286">
        <f>(N104-100)/100*P104*0.3389</f>
        <v>8.0959201606929199</v>
      </c>
      <c r="P104" s="300">
        <v>459</v>
      </c>
      <c r="Q104" s="300">
        <f>P104-X104-AA104-AB104-AC104</f>
        <v>415</v>
      </c>
      <c r="R104" s="300" t="s">
        <v>19</v>
      </c>
      <c r="S104" s="300">
        <v>114</v>
      </c>
      <c r="T104" s="300">
        <v>20</v>
      </c>
      <c r="U104" s="300">
        <v>4</v>
      </c>
      <c r="V104" s="300">
        <v>9</v>
      </c>
      <c r="W104" s="300">
        <v>48</v>
      </c>
      <c r="X104" s="300">
        <v>40</v>
      </c>
      <c r="Y104" s="300">
        <v>83</v>
      </c>
      <c r="Z104" s="300">
        <f>S104+T104+U104*2+V104*3</f>
        <v>169</v>
      </c>
      <c r="AA104" s="300">
        <v>2</v>
      </c>
      <c r="AB104" s="300">
        <v>2</v>
      </c>
      <c r="AC104" s="300">
        <v>0</v>
      </c>
      <c r="AD104" s="9"/>
      <c r="AE104" s="37"/>
      <c r="AF104" s="37"/>
      <c r="AG104" s="37"/>
      <c r="AH104" s="38"/>
    </row>
    <row r="105" spans="1:34" x14ac:dyDescent="0.2">
      <c r="A105" s="9"/>
      <c r="B105" s="301">
        <v>2000</v>
      </c>
      <c r="C105" s="302" t="s">
        <v>539</v>
      </c>
      <c r="D105" s="303">
        <f>(S105-V105)/(Q105-V105-Y105+AC105)</f>
        <v>0.22535211267605634</v>
      </c>
      <c r="E105" s="303">
        <f>Z105/P105</f>
        <v>0.30943396226415093</v>
      </c>
      <c r="F105" s="303">
        <f>(T105+U105+V105)/S105</f>
        <v>0.45238095238095238</v>
      </c>
      <c r="G105" s="303">
        <f>(Z105+R105)/P105</f>
        <v>0.4037735849056604</v>
      </c>
      <c r="H105" s="303">
        <f>(Z105/Q105)+((S105+X105+AA105)/(Q105+X105+AA105+AC105))</f>
        <v>0.64482022546861451</v>
      </c>
      <c r="I105" s="303">
        <f>V105/Z105</f>
        <v>0.12195121951219512</v>
      </c>
      <c r="J105" s="303">
        <f>(AB105+AC105)/Z105</f>
        <v>4.878048780487805E-2</v>
      </c>
      <c r="K105" s="303">
        <f>Y105/P105</f>
        <v>0.29433962264150942</v>
      </c>
      <c r="L105" s="303">
        <f>(X105+AA105)/P105</f>
        <v>0.12452830188679245</v>
      </c>
      <c r="M105" s="304">
        <f>(1-D105*0.7635+1-E105*0.7562+1-F105*0.75+1-G105*0.7248+1-H105*0.7021+1-I105*0.6285+J105*0.5884+K105*0.5276+1-L105*0.3663)/11.068</f>
        <v>0.50334437805080712</v>
      </c>
      <c r="N105" s="308">
        <f>M105/0.4815*100</f>
        <v>104.53673479767542</v>
      </c>
      <c r="O105" s="307">
        <f>(N105-100)/100*P105*0.6611</f>
        <v>7.9479737430695359</v>
      </c>
      <c r="P105" s="300">
        <v>265</v>
      </c>
      <c r="Q105" s="300">
        <f>P105-X105-AA105-AB105-AC105</f>
        <v>228</v>
      </c>
      <c r="R105" s="300">
        <v>25</v>
      </c>
      <c r="S105" s="300">
        <v>42</v>
      </c>
      <c r="T105" s="300">
        <v>8</v>
      </c>
      <c r="U105" s="300">
        <v>1</v>
      </c>
      <c r="V105" s="300">
        <v>10</v>
      </c>
      <c r="W105" s="300" t="s">
        <v>19</v>
      </c>
      <c r="X105" s="300">
        <v>31</v>
      </c>
      <c r="Y105" s="300">
        <v>78</v>
      </c>
      <c r="Z105" s="300">
        <f>S105+T105+U105*2+V105*3</f>
        <v>82</v>
      </c>
      <c r="AA105" s="300">
        <v>2</v>
      </c>
      <c r="AB105" s="300">
        <v>2</v>
      </c>
      <c r="AC105" s="300">
        <v>2</v>
      </c>
      <c r="AD105" s="9"/>
      <c r="AE105" s="37"/>
      <c r="AF105" s="37"/>
      <c r="AG105" s="37"/>
      <c r="AH105" s="38"/>
    </row>
    <row r="106" spans="1:34" x14ac:dyDescent="0.2">
      <c r="A106" s="9"/>
      <c r="B106" s="298">
        <v>1950</v>
      </c>
      <c r="C106" s="299" t="s">
        <v>615</v>
      </c>
      <c r="D106" s="292">
        <f>(S106-V106)/(Q106-V106-Y106+AC106)</f>
        <v>0.29936305732484075</v>
      </c>
      <c r="E106" s="292">
        <f>Z106/P106</f>
        <v>0.40031152647975077</v>
      </c>
      <c r="F106" s="292">
        <f>(T106+U106+V106)/S106</f>
        <v>0.33962264150943394</v>
      </c>
      <c r="G106" s="292">
        <f>(Z106+W106)/P106</f>
        <v>0.49065420560747663</v>
      </c>
      <c r="H106" s="292">
        <f>(Z106/Q106)+((S106+X106+AA106)/(Q106+X106+AA106+AC106))</f>
        <v>0.78266484721477658</v>
      </c>
      <c r="I106" s="292">
        <f>V106/Z106</f>
        <v>7.0038910505836577E-2</v>
      </c>
      <c r="J106" s="292">
        <f>(AB106+AC106)/Z106</f>
        <v>2.7237354085603113E-2</v>
      </c>
      <c r="K106" s="292">
        <f>Y106/P106</f>
        <v>0.14485981308411214</v>
      </c>
      <c r="L106" s="292">
        <f>(X106+AA106)/P106</f>
        <v>8.8785046728971959E-2</v>
      </c>
      <c r="M106" s="293">
        <f>(D106*0.7635+E106*0.7562+F106*0.75+G106*0.7248+H106*0.7021+I106*0.6285+1-J106*0.5884+1-K106*0.5276+L106*0.3663)/6.931</f>
        <v>0.53025801911989134</v>
      </c>
      <c r="N106" s="294">
        <f>M106/0.5128*100</f>
        <v>103.40444990637505</v>
      </c>
      <c r="O106" s="286">
        <f>(N106-100)/100*P106*0.3389</f>
        <v>7.4071910303966355</v>
      </c>
      <c r="P106" s="300">
        <v>642</v>
      </c>
      <c r="Q106" s="311">
        <f>P106-X106-AA106-AB106-AC106</f>
        <v>578</v>
      </c>
      <c r="R106" s="300" t="s">
        <v>19</v>
      </c>
      <c r="S106" s="300">
        <v>159</v>
      </c>
      <c r="T106" s="300">
        <v>28</v>
      </c>
      <c r="U106" s="300">
        <v>8</v>
      </c>
      <c r="V106" s="300">
        <v>18</v>
      </c>
      <c r="W106" s="300">
        <v>58</v>
      </c>
      <c r="X106" s="300">
        <v>52</v>
      </c>
      <c r="Y106" s="300">
        <v>93</v>
      </c>
      <c r="Z106" s="300">
        <f>S106+T106+U106*2+V106*3</f>
        <v>257</v>
      </c>
      <c r="AA106" s="300">
        <v>5</v>
      </c>
      <c r="AB106" s="300">
        <v>3</v>
      </c>
      <c r="AC106" s="311">
        <v>4</v>
      </c>
      <c r="AD106" s="9"/>
      <c r="AE106" s="37"/>
      <c r="AF106" s="37"/>
      <c r="AG106" s="37"/>
      <c r="AH106" s="38"/>
    </row>
    <row r="107" spans="1:34" x14ac:dyDescent="0.2">
      <c r="A107" s="9"/>
      <c r="B107" s="301">
        <v>1972</v>
      </c>
      <c r="C107" s="302" t="s">
        <v>584</v>
      </c>
      <c r="D107" s="303">
        <f>(S107-V107)/(Q107-V107-Y107+AC107)</f>
        <v>0.27198917456021648</v>
      </c>
      <c r="E107" s="303">
        <f>Z107/P107</f>
        <v>0.30508474576271188</v>
      </c>
      <c r="F107" s="303">
        <f>(T107+U107+V107)/S107</f>
        <v>0.26511627906976742</v>
      </c>
      <c r="G107" s="303">
        <f>(Z107+R107)/P107</f>
        <v>0.38384845463609174</v>
      </c>
      <c r="H107" s="303">
        <f>(Z107/Q107)+((S107+X107+AA107)/(Q107+X107+AA107+AC107))</f>
        <v>0.62278056951423788</v>
      </c>
      <c r="I107" s="303">
        <f>V107/Z107</f>
        <v>4.5751633986928102E-2</v>
      </c>
      <c r="J107" s="303">
        <f>(AB107+AC107)/Z107</f>
        <v>3.9215686274509803E-2</v>
      </c>
      <c r="K107" s="303">
        <f>Y107/P107</f>
        <v>0.16849451645064806</v>
      </c>
      <c r="L107" s="303">
        <f>(X107+AA107)/P107</f>
        <v>7.278165503489531E-2</v>
      </c>
      <c r="M107" s="304">
        <f>(1-D107*0.7635+1-E107*0.7562+1-F107*0.75+1-G107*0.7248+1-H107*0.7021+1-I107*0.6285+J107*0.5884+K107*0.5276+1-L107*0.3663)/11.068</f>
        <v>0.51534909359253855</v>
      </c>
      <c r="N107" s="308">
        <f>M107/0.5097*100</f>
        <v>101.10831736169091</v>
      </c>
      <c r="O107" s="307">
        <f>(N107-100)/100*P107*0.6611</f>
        <v>7.3490673363730084</v>
      </c>
      <c r="P107" s="300">
        <v>1003</v>
      </c>
      <c r="Q107" s="300">
        <f>P107-X107-AA107-AB107-AC107</f>
        <v>918</v>
      </c>
      <c r="R107" s="300">
        <v>79</v>
      </c>
      <c r="S107" s="300">
        <v>215</v>
      </c>
      <c r="T107" s="300">
        <v>37</v>
      </c>
      <c r="U107" s="300">
        <v>6</v>
      </c>
      <c r="V107" s="300">
        <v>14</v>
      </c>
      <c r="W107" s="300" t="s">
        <v>19</v>
      </c>
      <c r="X107" s="300">
        <v>71</v>
      </c>
      <c r="Y107" s="300">
        <v>169</v>
      </c>
      <c r="Z107" s="300">
        <f>S107+T107+U107*2+V107*3</f>
        <v>306</v>
      </c>
      <c r="AA107" s="300">
        <v>2</v>
      </c>
      <c r="AB107" s="300">
        <v>8</v>
      </c>
      <c r="AC107" s="300">
        <v>4</v>
      </c>
      <c r="AD107" s="9"/>
      <c r="AE107" s="37"/>
      <c r="AF107" s="37"/>
      <c r="AG107" s="37"/>
      <c r="AH107" s="38"/>
    </row>
    <row r="108" spans="1:34" x14ac:dyDescent="0.2">
      <c r="A108" s="9"/>
      <c r="B108" s="298">
        <v>1953</v>
      </c>
      <c r="C108" s="299" t="s">
        <v>610</v>
      </c>
      <c r="D108" s="292">
        <f>(S108-V108)/(Q108-V108-Y108+AC108)</f>
        <v>0.28877005347593582</v>
      </c>
      <c r="E108" s="292">
        <f>Z108/P108</f>
        <v>0.35352112676056335</v>
      </c>
      <c r="F108" s="292">
        <f>(T108+U108+V108)/S108</f>
        <v>0.32142857142857145</v>
      </c>
      <c r="G108" s="292">
        <f>(Z108+W108)/P108</f>
        <v>0.44225352112676058</v>
      </c>
      <c r="H108" s="292">
        <f>(Z108/Q108)+((S108+X108+AA108)/(Q108+X108+AA108+AC108))</f>
        <v>0.8018000811144752</v>
      </c>
      <c r="I108" s="292">
        <f>V108/Z108</f>
        <v>2.3904382470119521E-2</v>
      </c>
      <c r="J108" s="292">
        <f>(AB108+AC108)/Z108</f>
        <v>3.1872509960159362E-2</v>
      </c>
      <c r="K108" s="292">
        <f>Y108/P108</f>
        <v>5.3521126760563378E-2</v>
      </c>
      <c r="L108" s="292">
        <f>(X108+AA108)/P108</f>
        <v>0.14507042253521127</v>
      </c>
      <c r="M108" s="293">
        <f>(D108*0.7635+E108*0.7562+F108*0.75+G108*0.7248+H108*0.7021+I108*0.6285+1-J108*0.5884+1-K108*0.5276+L108*0.3663)/6.931</f>
        <v>0.52424482734633959</v>
      </c>
      <c r="N108" s="294">
        <f>M108/0.5088*100</f>
        <v>103.03553996586862</v>
      </c>
      <c r="O108" s="286">
        <f>(N108-100)/100*P108*0.3389</f>
        <v>7.3040859104734208</v>
      </c>
      <c r="P108" s="300">
        <v>710</v>
      </c>
      <c r="Q108" s="311">
        <f>P108-X108-AA108-AB108-AC108</f>
        <v>599</v>
      </c>
      <c r="R108" s="300" t="s">
        <v>19</v>
      </c>
      <c r="S108" s="300">
        <v>168</v>
      </c>
      <c r="T108" s="300">
        <v>31</v>
      </c>
      <c r="U108" s="300">
        <v>17</v>
      </c>
      <c r="V108" s="300">
        <v>6</v>
      </c>
      <c r="W108" s="300">
        <v>63</v>
      </c>
      <c r="X108" s="300">
        <v>100</v>
      </c>
      <c r="Y108" s="300">
        <v>38</v>
      </c>
      <c r="Z108" s="300">
        <f>S108+T108+U108*2+V108*3</f>
        <v>251</v>
      </c>
      <c r="AA108" s="300">
        <v>3</v>
      </c>
      <c r="AB108" s="300">
        <v>2</v>
      </c>
      <c r="AC108" s="311">
        <v>6</v>
      </c>
      <c r="AD108" s="9"/>
      <c r="AE108" s="37"/>
      <c r="AF108" s="37"/>
      <c r="AG108" s="37"/>
      <c r="AH108" s="38"/>
    </row>
    <row r="109" spans="1:34" x14ac:dyDescent="0.2">
      <c r="A109" s="9"/>
      <c r="B109" s="298">
        <v>2009</v>
      </c>
      <c r="C109" s="299" t="s">
        <v>530</v>
      </c>
      <c r="D109" s="292">
        <f>(S109-V109)/(Q109-V109-Y109+AC109)</f>
        <v>0.36515513126491644</v>
      </c>
      <c r="E109" s="292">
        <f>Z109/P109</f>
        <v>0.41061946902654867</v>
      </c>
      <c r="F109" s="292">
        <f>(T109+U109+V109)/S109</f>
        <v>0.2839506172839506</v>
      </c>
      <c r="G109" s="292">
        <f>(Z109+W109)/P109</f>
        <v>0.49380530973451325</v>
      </c>
      <c r="H109" s="292">
        <f>(Z109/Q109)+((S109+X109+AA109)/(Q109+X109+AA109+AC109))</f>
        <v>0.84999717561995136</v>
      </c>
      <c r="I109" s="292">
        <f>V109/Z109</f>
        <v>3.8793103448275863E-2</v>
      </c>
      <c r="J109" s="292">
        <f>(AB109+AC109)/Z109</f>
        <v>1.7241379310344827E-2</v>
      </c>
      <c r="K109" s="292">
        <f>Y109/P109</f>
        <v>0.13628318584070798</v>
      </c>
      <c r="L109" s="292">
        <f>(X109+AA109)/P109</f>
        <v>0.10088495575221239</v>
      </c>
      <c r="M109" s="293">
        <f>(D109*0.7635+E109*0.7562+F109*0.75+G109*0.7248+H109*0.7021+I109*0.6285+1-J109*0.5884+1-K109*0.5276+L109*0.3663)/6.931</f>
        <v>0.53906366210264867</v>
      </c>
      <c r="N109" s="294">
        <f>M109/0.5197*100</f>
        <v>103.72593074901839</v>
      </c>
      <c r="O109" s="286">
        <f>(N109-100)/100*P109*0.3389</f>
        <v>7.1343563092591742</v>
      </c>
      <c r="P109" s="300">
        <v>565</v>
      </c>
      <c r="Q109" s="300">
        <f>P109-X109-AA109-AB109-AC109</f>
        <v>504</v>
      </c>
      <c r="R109" s="300" t="s">
        <v>19</v>
      </c>
      <c r="S109" s="300">
        <v>162</v>
      </c>
      <c r="T109" s="300">
        <v>31</v>
      </c>
      <c r="U109" s="300">
        <v>6</v>
      </c>
      <c r="V109" s="300">
        <v>9</v>
      </c>
      <c r="W109" s="300">
        <v>47</v>
      </c>
      <c r="X109" s="300">
        <v>53</v>
      </c>
      <c r="Y109" s="300">
        <v>77</v>
      </c>
      <c r="Z109" s="300">
        <f>S109+T109+U109*2+V109*3</f>
        <v>232</v>
      </c>
      <c r="AA109" s="300">
        <v>4</v>
      </c>
      <c r="AB109" s="300">
        <v>3</v>
      </c>
      <c r="AC109" s="300">
        <v>1</v>
      </c>
      <c r="AD109" s="9"/>
      <c r="AE109" s="37"/>
      <c r="AF109" s="37"/>
      <c r="AG109" s="37"/>
      <c r="AH109" s="38"/>
    </row>
    <row r="110" spans="1:34" x14ac:dyDescent="0.2">
      <c r="A110" s="9"/>
      <c r="B110" s="298">
        <v>1947</v>
      </c>
      <c r="C110" s="299" t="s">
        <v>208</v>
      </c>
      <c r="D110" s="292">
        <f>(S110-V110)/(Q110-V110-Y110+AC110)</f>
        <v>0.30073800738007378</v>
      </c>
      <c r="E110" s="292">
        <f>Z110/P110</f>
        <v>0.3594864479315264</v>
      </c>
      <c r="F110" s="292">
        <f>(T110+U110+V110)/S110</f>
        <v>0.2742857142857143</v>
      </c>
      <c r="G110" s="292">
        <f>(Z110+W110)/P110</f>
        <v>0.42796005706134094</v>
      </c>
      <c r="H110" s="292">
        <f>(Z110/Q110)+((S110+X110+AA110)/(Q110+X110+AA110+AC110))</f>
        <v>0.81486494738341919</v>
      </c>
      <c r="I110" s="292">
        <f>V110/Z110</f>
        <v>4.7619047619047616E-2</v>
      </c>
      <c r="J110" s="292">
        <f>(AB110+AC110)/Z110</f>
        <v>0.13492063492063491</v>
      </c>
      <c r="K110" s="292">
        <f>Y110/P110</f>
        <v>5.1355206847360911E-2</v>
      </c>
      <c r="L110" s="292">
        <f>(X110+AA110)/P110</f>
        <v>0.11840228245363767</v>
      </c>
      <c r="M110" s="293">
        <f>(D110*0.7635+E110*0.7562+F110*0.75+G110*0.7248+H110*0.7021+I110*0.6285+1-J110*0.5884+1-K110*0.5276+L110*0.3663)/6.931</f>
        <v>0.51309919982139962</v>
      </c>
      <c r="N110" s="294">
        <f>M110/0.4984*100</f>
        <v>102.94927765276879</v>
      </c>
      <c r="O110" s="286">
        <f>(N110-100)/100*P110*0.3389</f>
        <v>7.0065664776286214</v>
      </c>
      <c r="P110" s="300">
        <v>701</v>
      </c>
      <c r="Q110" s="311">
        <f>P110-X110-AA110-AB110-AC110</f>
        <v>584</v>
      </c>
      <c r="R110" s="300" t="s">
        <v>19</v>
      </c>
      <c r="S110" s="300">
        <v>175</v>
      </c>
      <c r="T110" s="300">
        <v>31</v>
      </c>
      <c r="U110" s="300">
        <v>5</v>
      </c>
      <c r="V110" s="300">
        <v>12</v>
      </c>
      <c r="W110" s="300">
        <v>48</v>
      </c>
      <c r="X110" s="300">
        <v>74</v>
      </c>
      <c r="Y110" s="300">
        <v>36</v>
      </c>
      <c r="Z110" s="300">
        <f>S110+T110+U110*2+V110*3</f>
        <v>252</v>
      </c>
      <c r="AA110" s="300">
        <v>9</v>
      </c>
      <c r="AB110" s="300">
        <v>28</v>
      </c>
      <c r="AC110" s="311">
        <v>6</v>
      </c>
      <c r="AD110" s="9"/>
      <c r="AE110" s="37"/>
      <c r="AF110" s="37"/>
      <c r="AG110" s="37"/>
      <c r="AH110" s="38"/>
    </row>
    <row r="111" spans="1:34" x14ac:dyDescent="0.2">
      <c r="A111" s="9"/>
      <c r="B111" s="301">
        <v>2018</v>
      </c>
      <c r="C111" s="302" t="s">
        <v>519</v>
      </c>
      <c r="D111" s="303">
        <f>(S111-V111)/(Q111-V111-Y111+AC111)</f>
        <v>0.26890756302521007</v>
      </c>
      <c r="E111" s="303">
        <f>Z111/P111</f>
        <v>0.29383886255924169</v>
      </c>
      <c r="F111" s="303">
        <f>(T111+U111+V111)/S111</f>
        <v>0.31578947368421051</v>
      </c>
      <c r="G111" s="303">
        <f>(Z111+R111)/P111</f>
        <v>0.38388625592417064</v>
      </c>
      <c r="H111" s="303">
        <f>(Z111/Q111)+((S111+X111+AA111)/(Q111+X111+AA111+AC111))</f>
        <v>0.62065032820538812</v>
      </c>
      <c r="I111" s="303">
        <f>V111/Z111</f>
        <v>9.6774193548387094E-2</v>
      </c>
      <c r="J111" s="303">
        <f>(AB111+AC111)/Z111</f>
        <v>1.6129032258064516E-2</v>
      </c>
      <c r="K111" s="303">
        <f>Y111/P111</f>
        <v>0.29857819905213268</v>
      </c>
      <c r="L111" s="303">
        <f>(X111+AA111)/P111</f>
        <v>0.10900473933649289</v>
      </c>
      <c r="M111" s="304">
        <f>(1-D111*0.7635+1-E111*0.7562+1-F111*0.75+1-G111*0.7248+1-H111*0.7021+1-I111*0.6285+J111*0.5884+K111*0.5276+1-L111*0.3663)/11.068</f>
        <v>0.51390638168678948</v>
      </c>
      <c r="N111" s="308">
        <f>M111/0.4898*100</f>
        <v>104.92167858039801</v>
      </c>
      <c r="O111" s="307">
        <f>(N111-100)/100*P111*0.6611</f>
        <v>6.8653528070473708</v>
      </c>
      <c r="P111" s="300">
        <v>211</v>
      </c>
      <c r="Q111" s="300">
        <f>P111-X111-AA111-AB111-AC111</f>
        <v>187</v>
      </c>
      <c r="R111" s="300">
        <v>19</v>
      </c>
      <c r="S111" s="300">
        <v>38</v>
      </c>
      <c r="T111" s="300">
        <v>6</v>
      </c>
      <c r="U111" s="300">
        <v>0</v>
      </c>
      <c r="V111" s="300">
        <v>6</v>
      </c>
      <c r="W111" s="300" t="s">
        <v>19</v>
      </c>
      <c r="X111" s="300">
        <v>22</v>
      </c>
      <c r="Y111" s="300">
        <v>63</v>
      </c>
      <c r="Z111" s="300">
        <f>S111+T111+U111*2+V111*3</f>
        <v>62</v>
      </c>
      <c r="AA111" s="300">
        <v>1</v>
      </c>
      <c r="AB111" s="300">
        <v>0</v>
      </c>
      <c r="AC111" s="300">
        <v>1</v>
      </c>
      <c r="AD111" s="9"/>
      <c r="AE111" s="37"/>
      <c r="AF111" s="37"/>
      <c r="AG111" s="37"/>
      <c r="AH111" s="38"/>
    </row>
    <row r="112" spans="1:34" x14ac:dyDescent="0.2">
      <c r="A112" s="9"/>
      <c r="B112" s="301">
        <v>2006</v>
      </c>
      <c r="C112" s="302" t="s">
        <v>344</v>
      </c>
      <c r="D112" s="303">
        <f>(S112-V112)/(Q112-V112-Y112+AC112)</f>
        <v>0.29484902309058614</v>
      </c>
      <c r="E112" s="303">
        <f>Z112/P112</f>
        <v>0.375</v>
      </c>
      <c r="F112" s="303">
        <f>(T112+U112+V112)/S112</f>
        <v>0.31016042780748665</v>
      </c>
      <c r="G112" s="303">
        <f>(Z112+R112)/P112</f>
        <v>0.47551546391752575</v>
      </c>
      <c r="H112" s="303">
        <f>(Z112/Q112)+((S112+X112+AA112)/(Q112+X112+AA112+AC112))</f>
        <v>0.74022565774019267</v>
      </c>
      <c r="I112" s="303">
        <f>V112/Z112</f>
        <v>7.2164948453608241E-2</v>
      </c>
      <c r="J112" s="303">
        <f>(AB112+AC112)/Z112</f>
        <v>2.0618556701030927E-2</v>
      </c>
      <c r="K112" s="303">
        <f>Y112/P112</f>
        <v>0.15979381443298968</v>
      </c>
      <c r="L112" s="303">
        <f>(X112+AA112)/P112</f>
        <v>8.505154639175258E-2</v>
      </c>
      <c r="M112" s="304">
        <f>(1-D112*0.7635+1-E112*0.7562+1-F112*0.75+1-G112*0.7248+1-H112*0.7021+1-I112*0.6285+J112*0.5884+K112*0.5276+1-L112*0.3663)/11.068</f>
        <v>0.48918056841156954</v>
      </c>
      <c r="N112" s="308">
        <f>M112/0.4833*100</f>
        <v>101.21675324054821</v>
      </c>
      <c r="O112" s="307">
        <f>(N112-100)/100*P112*0.6611</f>
        <v>6.2421096024530573</v>
      </c>
      <c r="P112" s="300">
        <v>776</v>
      </c>
      <c r="Q112" s="300">
        <f>P112-X112-AA112-AB112-AC112</f>
        <v>704</v>
      </c>
      <c r="R112" s="300">
        <v>78</v>
      </c>
      <c r="S112" s="300">
        <v>187</v>
      </c>
      <c r="T112" s="300">
        <v>33</v>
      </c>
      <c r="U112" s="300">
        <v>4</v>
      </c>
      <c r="V112" s="300">
        <v>21</v>
      </c>
      <c r="W112" s="300" t="s">
        <v>19</v>
      </c>
      <c r="X112" s="300">
        <v>60</v>
      </c>
      <c r="Y112" s="300">
        <v>124</v>
      </c>
      <c r="Z112" s="300">
        <f>S112+T112+U112*2+V112*3</f>
        <v>291</v>
      </c>
      <c r="AA112" s="300">
        <v>6</v>
      </c>
      <c r="AB112" s="300">
        <v>2</v>
      </c>
      <c r="AC112" s="300">
        <v>4</v>
      </c>
      <c r="AD112" s="9"/>
      <c r="AE112" s="37"/>
      <c r="AF112" s="37"/>
      <c r="AG112" s="37"/>
      <c r="AH112" s="38"/>
    </row>
    <row r="113" spans="1:34" x14ac:dyDescent="0.2">
      <c r="A113" s="9"/>
      <c r="B113" s="298">
        <v>1970</v>
      </c>
      <c r="C113" s="299" t="s">
        <v>377</v>
      </c>
      <c r="D113" s="292">
        <f>(S113-V113)/(Q113-V113-Y113+AC113)</f>
        <v>0.33164556962025316</v>
      </c>
      <c r="E113" s="292">
        <f>Z113/P113</f>
        <v>0.35741444866920152</v>
      </c>
      <c r="F113" s="292">
        <f>(T113+U113+V113)/S113</f>
        <v>0.25547445255474455</v>
      </c>
      <c r="G113" s="292">
        <f>(Z113+W113)/P113</f>
        <v>0.45817490494296575</v>
      </c>
      <c r="H113" s="292">
        <f>(Z113/Q113)+((S113+X113+AA113)/(Q113+X113+AA113+AC113))</f>
        <v>0.80080758263315999</v>
      </c>
      <c r="I113" s="292">
        <f>V113/Z113</f>
        <v>3.1914893617021274E-2</v>
      </c>
      <c r="J113" s="292">
        <f>(AB113+AC113)/Z113</f>
        <v>4.7872340425531915E-2</v>
      </c>
      <c r="K113" s="292">
        <f>Y113/P113</f>
        <v>0.10646387832699619</v>
      </c>
      <c r="L113" s="292">
        <f>(X113+AA113)/P113</f>
        <v>0.12167300380228137</v>
      </c>
      <c r="M113" s="293">
        <f>(D113*0.7635+E113*0.7562+F113*0.75+G113*0.7248+H113*0.7021+I113*0.6285+1-J113*0.5884+1-K113*0.5276+L113*0.3663)/6.931</f>
        <v>0.51792167326410943</v>
      </c>
      <c r="N113" s="294">
        <f>M113/0.5018*100</f>
        <v>103.2127686855539</v>
      </c>
      <c r="O113" s="286">
        <f>(N113-100)/100*P113*0.3389</f>
        <v>5.7271264376299742</v>
      </c>
      <c r="P113" s="300">
        <v>526</v>
      </c>
      <c r="Q113" s="300">
        <f>P113-X113-AA113-AB113-AC113</f>
        <v>453</v>
      </c>
      <c r="R113" s="300" t="s">
        <v>19</v>
      </c>
      <c r="S113" s="300">
        <v>137</v>
      </c>
      <c r="T113" s="300">
        <v>25</v>
      </c>
      <c r="U113" s="300">
        <v>4</v>
      </c>
      <c r="V113" s="300">
        <v>6</v>
      </c>
      <c r="W113" s="300">
        <v>53</v>
      </c>
      <c r="X113" s="300">
        <v>57</v>
      </c>
      <c r="Y113" s="300">
        <v>56</v>
      </c>
      <c r="Z113" s="300">
        <f>S113+T113+U113*2+V113*3</f>
        <v>188</v>
      </c>
      <c r="AA113" s="300">
        <v>7</v>
      </c>
      <c r="AB113" s="300">
        <v>5</v>
      </c>
      <c r="AC113" s="300">
        <v>4</v>
      </c>
      <c r="AD113" s="9"/>
      <c r="AE113" s="37"/>
      <c r="AF113" s="97"/>
      <c r="AG113" s="37"/>
      <c r="AH113" s="38"/>
    </row>
    <row r="114" spans="1:34" x14ac:dyDescent="0.2">
      <c r="A114" s="9"/>
      <c r="B114" s="298">
        <v>1990</v>
      </c>
      <c r="C114" s="299" t="s">
        <v>556</v>
      </c>
      <c r="D114" s="292">
        <f>(S114-V114)/(Q114-V114-Y114+AC114)</f>
        <v>0.30303030303030304</v>
      </c>
      <c r="E114" s="292">
        <f>Z114/P114</f>
        <v>0.38509316770186336</v>
      </c>
      <c r="F114" s="292">
        <f>(T114+U114+V114)/S114</f>
        <v>0.2868217054263566</v>
      </c>
      <c r="G114" s="292">
        <f>(Z114+W114)/P114</f>
        <v>0.52173913043478259</v>
      </c>
      <c r="H114" s="292">
        <f>(Z114/Q114)+((S114+X114+AA114)/(Q114+X114+AA114+AC114))</f>
        <v>0.74433736072587098</v>
      </c>
      <c r="I114" s="292">
        <f>V114/Z114</f>
        <v>4.8387096774193547E-2</v>
      </c>
      <c r="J114" s="292">
        <f>(AB114+AC114)/Z114</f>
        <v>5.9139784946236562E-2</v>
      </c>
      <c r="K114" s="292">
        <f>Y114/P114</f>
        <v>9.5238095238095233E-2</v>
      </c>
      <c r="L114" s="292">
        <f>(X114+AA114)/P114</f>
        <v>5.5900621118012424E-2</v>
      </c>
      <c r="M114" s="293">
        <f>(D114*0.7635+E114*0.7562+F114*0.75+G114*0.7248+H114*0.7021+I114*0.6285+1-J114*0.5884+1-K114*0.5276+L114*0.3663)/6.931</f>
        <v>0.52002385959925579</v>
      </c>
      <c r="N114" s="294">
        <f>M114/0.5025*100</f>
        <v>103.487335243633</v>
      </c>
      <c r="O114" s="286">
        <f>(N114-100)/100*P114*0.3389</f>
        <v>5.7083737249446873</v>
      </c>
      <c r="P114" s="300">
        <v>483</v>
      </c>
      <c r="Q114" s="300">
        <f>P114-X114-AA114-AB114-AC114</f>
        <v>445</v>
      </c>
      <c r="R114" s="300" t="s">
        <v>19</v>
      </c>
      <c r="S114" s="300">
        <v>129</v>
      </c>
      <c r="T114" s="300">
        <v>26</v>
      </c>
      <c r="U114" s="300">
        <v>2</v>
      </c>
      <c r="V114" s="300">
        <v>9</v>
      </c>
      <c r="W114" s="300">
        <v>66</v>
      </c>
      <c r="X114" s="300">
        <v>25</v>
      </c>
      <c r="Y114" s="300">
        <v>46</v>
      </c>
      <c r="Z114" s="300">
        <f>S114+T114+U114*2+V114*3</f>
        <v>186</v>
      </c>
      <c r="AA114" s="300">
        <v>2</v>
      </c>
      <c r="AB114" s="300">
        <v>5</v>
      </c>
      <c r="AC114" s="300">
        <v>6</v>
      </c>
      <c r="AD114" s="9"/>
      <c r="AE114" s="37"/>
      <c r="AF114" s="37"/>
      <c r="AG114" s="37"/>
      <c r="AH114" s="38"/>
    </row>
    <row r="115" spans="1:34" x14ac:dyDescent="0.2">
      <c r="A115" s="9"/>
      <c r="B115" s="301">
        <v>1975</v>
      </c>
      <c r="C115" s="302" t="s">
        <v>579</v>
      </c>
      <c r="D115" s="303">
        <f>(S115-V115)/(Q115-V115-Y115+AC115)</f>
        <v>0.29136163982430452</v>
      </c>
      <c r="E115" s="303">
        <f>Z115/P115</f>
        <v>0.31532416502946953</v>
      </c>
      <c r="F115" s="303">
        <f>(T115+U115+V115)/S115</f>
        <v>0.36666666666666664</v>
      </c>
      <c r="G115" s="303">
        <f>(Z115+R115)/P115</f>
        <v>0.3988212180746562</v>
      </c>
      <c r="H115" s="303">
        <f>(Z115/Q115)+((S115+X115+AA115)/(Q115+X115+AA115+AC115))</f>
        <v>0.65857245539130116</v>
      </c>
      <c r="I115" s="303">
        <f>V115/Z115</f>
        <v>3.4267912772585667E-2</v>
      </c>
      <c r="J115" s="303">
        <f>(AB115+AC115)/Z115</f>
        <v>6.5420560747663545E-2</v>
      </c>
      <c r="K115" s="303">
        <f>Y115/P115</f>
        <v>0.21119842829076621</v>
      </c>
      <c r="L115" s="303">
        <f>(X115+AA115)/P115</f>
        <v>9.2337917485265222E-2</v>
      </c>
      <c r="M115" s="304">
        <f>(1-D115*0.7635+1-E115*0.7562+1-F115*0.75+1-G115*0.7248+1-H115*0.7021+1-I115*0.6285+J115*0.5884+K115*0.5276+1-L115*0.3663)/11.068</f>
        <v>0.50661446521194675</v>
      </c>
      <c r="N115" s="308">
        <f>M115/0.5026*100</f>
        <v>100.79873959648759</v>
      </c>
      <c r="O115" s="307">
        <f>(N115-100)/100*P115*0.6611</f>
        <v>5.3755158868823081</v>
      </c>
      <c r="P115" s="300">
        <v>1018</v>
      </c>
      <c r="Q115" s="300">
        <f>P115-X115-AA115-AB115-AC115</f>
        <v>903</v>
      </c>
      <c r="R115" s="300">
        <v>85</v>
      </c>
      <c r="S115" s="300">
        <v>210</v>
      </c>
      <c r="T115" s="300">
        <v>54</v>
      </c>
      <c r="U115" s="300">
        <v>12</v>
      </c>
      <c r="V115" s="300">
        <v>11</v>
      </c>
      <c r="W115" s="300" t="s">
        <v>19</v>
      </c>
      <c r="X115" s="300">
        <v>86</v>
      </c>
      <c r="Y115" s="300">
        <v>215</v>
      </c>
      <c r="Z115" s="300">
        <f>S115+T115+U115*2+V115*3</f>
        <v>321</v>
      </c>
      <c r="AA115" s="300">
        <v>8</v>
      </c>
      <c r="AB115" s="300">
        <v>15</v>
      </c>
      <c r="AC115" s="300">
        <v>6</v>
      </c>
      <c r="AD115" s="9"/>
      <c r="AE115" s="37"/>
      <c r="AF115" s="37"/>
      <c r="AG115" s="37"/>
      <c r="AH115" s="38"/>
    </row>
    <row r="116" spans="1:34" x14ac:dyDescent="0.2">
      <c r="A116" s="9"/>
      <c r="B116" s="298">
        <v>2001</v>
      </c>
      <c r="C116" s="299" t="s">
        <v>356</v>
      </c>
      <c r="D116" s="292">
        <f>(S116-V116)/(Q116-V116-Y116+AC116)</f>
        <v>0.36850393700787404</v>
      </c>
      <c r="E116" s="292">
        <f>Z116/P116</f>
        <v>0.42818428184281843</v>
      </c>
      <c r="F116" s="292">
        <f>(T116+U116+V116)/S116</f>
        <v>0.20661157024793389</v>
      </c>
      <c r="G116" s="292">
        <f>(Z116+W116)/P116</f>
        <v>0.52168021680216803</v>
      </c>
      <c r="H116" s="292">
        <f>(Z116/Q116)+((S116+X116+AA116)/(Q116+X116+AA116+AC116))</f>
        <v>0.83811878848970722</v>
      </c>
      <c r="I116" s="292">
        <f>V116/Z116</f>
        <v>2.5316455696202531E-2</v>
      </c>
      <c r="J116" s="292">
        <f>(AB116+AC116)/Z116</f>
        <v>2.5316455696202531E-2</v>
      </c>
      <c r="K116" s="292">
        <f>Y116/P116</f>
        <v>7.1815718157181574E-2</v>
      </c>
      <c r="L116" s="292">
        <f>(X116+AA116)/P116</f>
        <v>5.1490514905149054E-2</v>
      </c>
      <c r="M116" s="293">
        <f>(D116*0.7635+E116*0.7562+F116*0.75+G116*0.7248+H116*0.7021+I116*0.6285+1-J116*0.5884+1-K116*0.5276+L116*0.3663)/6.931</f>
        <v>0.53508117192919946</v>
      </c>
      <c r="N116" s="294">
        <f>M116/0.5241*100</f>
        <v>102.0952436422819</v>
      </c>
      <c r="O116" s="286">
        <f>(N116-100)/100*P116*0.3389</f>
        <v>5.2403761593257006</v>
      </c>
      <c r="P116" s="300">
        <v>738</v>
      </c>
      <c r="Q116" s="300">
        <f>P116-X116-AA116-AB116-AC116</f>
        <v>692</v>
      </c>
      <c r="R116" s="300" t="s">
        <v>19</v>
      </c>
      <c r="S116" s="300">
        <v>242</v>
      </c>
      <c r="T116" s="300">
        <v>34</v>
      </c>
      <c r="U116" s="300">
        <v>8</v>
      </c>
      <c r="V116" s="300">
        <v>8</v>
      </c>
      <c r="W116" s="300">
        <v>69</v>
      </c>
      <c r="X116" s="300">
        <v>30</v>
      </c>
      <c r="Y116" s="300">
        <v>53</v>
      </c>
      <c r="Z116" s="300">
        <f>S116+T116+U116*2+V116*3</f>
        <v>316</v>
      </c>
      <c r="AA116" s="300">
        <v>8</v>
      </c>
      <c r="AB116" s="300">
        <v>4</v>
      </c>
      <c r="AC116" s="300">
        <v>4</v>
      </c>
      <c r="AD116" s="9"/>
      <c r="AE116" s="37"/>
      <c r="AF116" s="37"/>
      <c r="AG116" s="37"/>
      <c r="AH116" s="38"/>
    </row>
    <row r="117" spans="1:34" x14ac:dyDescent="0.2">
      <c r="A117" s="9"/>
      <c r="B117" s="298">
        <v>1955</v>
      </c>
      <c r="C117" s="299" t="s">
        <v>606</v>
      </c>
      <c r="D117" s="292">
        <f>(S117-V117)/(Q117-V117-Y117+AC117)</f>
        <v>0.2878787878787879</v>
      </c>
      <c r="E117" s="292">
        <f>Z117/P117</f>
        <v>0.39419795221843001</v>
      </c>
      <c r="F117" s="292">
        <f>(T117+U117+V117)/S117</f>
        <v>0.27333333333333332</v>
      </c>
      <c r="G117" s="292">
        <f>(Z117+W117)/P117</f>
        <v>0.51023890784982939</v>
      </c>
      <c r="H117" s="292">
        <f>(Z117/Q117)+((S117+X117+AA117)/(Q117+X117+AA117+AC117))</f>
        <v>0.7549980627663696</v>
      </c>
      <c r="I117" s="292">
        <f>V117/Z117</f>
        <v>7.3593073593073599E-2</v>
      </c>
      <c r="J117" s="292">
        <f>(AB117+AC117)/Z117</f>
        <v>6.4935064935064929E-2</v>
      </c>
      <c r="K117" s="292">
        <f>Y117/P117</f>
        <v>0.10921501706484642</v>
      </c>
      <c r="L117" s="292">
        <f>(X117+AA117)/P117</f>
        <v>6.313993174061433E-2</v>
      </c>
      <c r="M117" s="293">
        <f>(D117*0.7635+E117*0.7562+F117*0.75+G117*0.7248+H117*0.7021+I117*0.6285+1-J117*0.5884+1-K117*0.5276+L117*0.3663)/6.931</f>
        <v>0.51887823038947978</v>
      </c>
      <c r="N117" s="294">
        <f>M117/0.5064*100</f>
        <v>102.46410552714846</v>
      </c>
      <c r="O117" s="286">
        <f>(N117-100)/100*P117*0.3389</f>
        <v>4.8936002280625965</v>
      </c>
      <c r="P117" s="300">
        <v>586</v>
      </c>
      <c r="Q117" s="300">
        <f>P117-X117-AA117-AB117-AC117</f>
        <v>534</v>
      </c>
      <c r="R117" s="300" t="s">
        <v>19</v>
      </c>
      <c r="S117" s="300">
        <v>150</v>
      </c>
      <c r="T117" s="300">
        <v>18</v>
      </c>
      <c r="U117" s="300">
        <v>6</v>
      </c>
      <c r="V117" s="300">
        <v>17</v>
      </c>
      <c r="W117" s="300">
        <v>68</v>
      </c>
      <c r="X117" s="300">
        <v>36</v>
      </c>
      <c r="Y117" s="300">
        <v>64</v>
      </c>
      <c r="Z117" s="300">
        <f>S117+T117+U117*2+V117*3</f>
        <v>231</v>
      </c>
      <c r="AA117" s="300">
        <v>1</v>
      </c>
      <c r="AB117" s="300">
        <v>6</v>
      </c>
      <c r="AC117" s="300">
        <v>9</v>
      </c>
      <c r="AD117" s="9"/>
      <c r="AE117" s="37"/>
      <c r="AF117" s="37"/>
      <c r="AG117" s="37"/>
      <c r="AH117" s="38"/>
    </row>
    <row r="118" spans="1:34" x14ac:dyDescent="0.2">
      <c r="A118" s="9"/>
      <c r="B118" s="298">
        <v>2007</v>
      </c>
      <c r="C118" s="299" t="s">
        <v>349</v>
      </c>
      <c r="D118" s="292">
        <f>(S118-V118)/(Q118-V118-Y118+AC118)</f>
        <v>0.3326271186440678</v>
      </c>
      <c r="E118" s="292">
        <f>Z118/P118</f>
        <v>0.39586919104991392</v>
      </c>
      <c r="F118" s="292">
        <f>(T118+U118+V118)/S118</f>
        <v>0.29090909090909089</v>
      </c>
      <c r="G118" s="292">
        <f>(Z118+W118)/P118</f>
        <v>0.48192771084337349</v>
      </c>
      <c r="H118" s="292">
        <f>(Z118/Q118)+((S118+X118+AA118)/(Q118+X118+AA118+AC118))</f>
        <v>0.82251602564102555</v>
      </c>
      <c r="I118" s="292">
        <f>V118/Z118</f>
        <v>3.4782608695652174E-2</v>
      </c>
      <c r="J118" s="292">
        <f>(AB118+AC118)/Z118</f>
        <v>3.0434782608695653E-2</v>
      </c>
      <c r="K118" s="292">
        <f>Y118/P118</f>
        <v>7.2289156626506021E-2</v>
      </c>
      <c r="L118" s="292">
        <f>(X118+AA118)/P118</f>
        <v>9.2943201376936319E-2</v>
      </c>
      <c r="M118" s="293">
        <f>(D118*0.7635+E118*0.7562+F118*0.75+G118*0.7248+H118*0.7021+I118*0.6285+1-J118*0.5884+1-K118*0.5276+L118*0.3663)/6.931</f>
        <v>0.53356615078153768</v>
      </c>
      <c r="N118" s="294">
        <f>M118/0.5225*100</f>
        <v>102.11792359455268</v>
      </c>
      <c r="O118" s="286">
        <f>(N118-100)/100*P118*0.3389</f>
        <v>4.170210618986574</v>
      </c>
      <c r="P118" s="300">
        <v>581</v>
      </c>
      <c r="Q118" s="300">
        <f>P118-X118-AA118-AB118-AC118</f>
        <v>520</v>
      </c>
      <c r="R118" s="300" t="s">
        <v>19</v>
      </c>
      <c r="S118" s="300">
        <v>165</v>
      </c>
      <c r="T118" s="300">
        <v>39</v>
      </c>
      <c r="U118" s="300">
        <v>1</v>
      </c>
      <c r="V118" s="300">
        <v>8</v>
      </c>
      <c r="W118" s="300">
        <v>50</v>
      </c>
      <c r="X118" s="300">
        <v>47</v>
      </c>
      <c r="Y118" s="300">
        <v>42</v>
      </c>
      <c r="Z118" s="300">
        <f>S118+T118+U118*2+V118*3</f>
        <v>230</v>
      </c>
      <c r="AA118" s="300">
        <v>7</v>
      </c>
      <c r="AB118" s="300">
        <v>5</v>
      </c>
      <c r="AC118" s="300">
        <v>2</v>
      </c>
      <c r="AD118" s="9"/>
      <c r="AE118" s="37"/>
      <c r="AF118" s="37"/>
      <c r="AG118" s="37"/>
      <c r="AH118" s="38"/>
    </row>
    <row r="119" spans="1:34" x14ac:dyDescent="0.2">
      <c r="A119" s="9"/>
      <c r="B119" s="298">
        <v>1974</v>
      </c>
      <c r="C119" s="299" t="s">
        <v>581</v>
      </c>
      <c r="D119" s="292">
        <f>(S119-V119)/(Q119-V119-Y119+AC119)</f>
        <v>0.33333333333333331</v>
      </c>
      <c r="E119" s="292">
        <f>Z119/P119</f>
        <v>0.35199999999999998</v>
      </c>
      <c r="F119" s="292">
        <f>(T119+U119+V119)/S119</f>
        <v>0.17341040462427745</v>
      </c>
      <c r="G119" s="292">
        <f>(Z119+W119)/P119</f>
        <v>0.44159999999999999</v>
      </c>
      <c r="H119" s="292">
        <f>(Z119/Q119)+((S119+X119+AA119)/(Q119+X119+AA119+AC119))</f>
        <v>0.76291476715332684</v>
      </c>
      <c r="I119" s="292">
        <f>V119/Z119</f>
        <v>2.7272727272727271E-2</v>
      </c>
      <c r="J119" s="292">
        <f>(AB119+AC119)/Z119</f>
        <v>4.5454545454545456E-2</v>
      </c>
      <c r="K119" s="292">
        <f>Y119/P119</f>
        <v>9.1200000000000003E-2</v>
      </c>
      <c r="L119" s="292">
        <f>(X119+AA119)/P119</f>
        <v>8.9599999999999999E-2</v>
      </c>
      <c r="M119" s="293">
        <f>(D119*0.7635+E119*0.7562+F119*0.75+G119*0.7248+H119*0.7021+I119*0.6285+1-J119*0.5884+1-K119*0.5276+L119*0.3663)/6.931</f>
        <v>0.50231613851277057</v>
      </c>
      <c r="N119" s="294">
        <f>M119/0.4929*100</f>
        <v>101.91035473986013</v>
      </c>
      <c r="O119" s="286">
        <f>(N119-100)/100*P119*0.3389</f>
        <v>4.046370133366227</v>
      </c>
      <c r="P119" s="300">
        <v>625</v>
      </c>
      <c r="Q119" s="300">
        <f>P119-X119-AA119-AB119-AC119</f>
        <v>559</v>
      </c>
      <c r="R119" s="300" t="s">
        <v>19</v>
      </c>
      <c r="S119" s="300">
        <v>173</v>
      </c>
      <c r="T119" s="300">
        <v>19</v>
      </c>
      <c r="U119" s="300">
        <v>5</v>
      </c>
      <c r="V119" s="300">
        <v>6</v>
      </c>
      <c r="W119" s="300">
        <v>56</v>
      </c>
      <c r="X119" s="300">
        <v>43</v>
      </c>
      <c r="Y119" s="300">
        <v>57</v>
      </c>
      <c r="Z119" s="300">
        <f>S119+T119+U119*2+V119*3</f>
        <v>220</v>
      </c>
      <c r="AA119" s="300">
        <v>13</v>
      </c>
      <c r="AB119" s="300">
        <v>5</v>
      </c>
      <c r="AC119" s="300">
        <v>5</v>
      </c>
      <c r="AD119" s="9"/>
      <c r="AE119" s="37"/>
      <c r="AF119" s="37"/>
      <c r="AG119" s="37"/>
      <c r="AH119" s="38"/>
    </row>
    <row r="120" spans="1:34" x14ac:dyDescent="0.2">
      <c r="A120" s="9"/>
      <c r="B120" s="298">
        <v>1999</v>
      </c>
      <c r="C120" s="299" t="s">
        <v>541</v>
      </c>
      <c r="D120" s="292">
        <f>(S120-V120)/(Q120-V120-Y120+AC120)</f>
        <v>0.32575757575757575</v>
      </c>
      <c r="E120" s="292">
        <f>Z120/P120</f>
        <v>0.41632088520055327</v>
      </c>
      <c r="F120" s="292">
        <f>(T120+U120+V120)/S120</f>
        <v>0.28865979381443296</v>
      </c>
      <c r="G120" s="292">
        <f>(Z120+W120)/P120</f>
        <v>0.56569847856154909</v>
      </c>
      <c r="H120" s="292">
        <f>(Z120/Q120)+((S120+X120+AA120)/(Q120+X120+AA120+AC120))</f>
        <v>0.79147969433544252</v>
      </c>
      <c r="I120" s="292">
        <f>V120/Z120</f>
        <v>7.3089700996677748E-2</v>
      </c>
      <c r="J120" s="292">
        <f>(AB120+AC120)/Z120</f>
        <v>3.3222591362126248E-2</v>
      </c>
      <c r="K120" s="292">
        <f>Y120/P120</f>
        <v>0.17012448132780084</v>
      </c>
      <c r="L120" s="292">
        <f>(X120+AA120)/P120</f>
        <v>6.9156293222683268E-2</v>
      </c>
      <c r="M120" s="293">
        <f>(D120*0.7635+E120*0.7562+F120*0.75+G120*0.7248+H120*0.7021+I120*0.6285+1-J120*0.5884+1-K120*0.5276+L120*0.3663)/6.931</f>
        <v>0.53494614581915667</v>
      </c>
      <c r="N120" s="294">
        <f>M120/0.5278*100</f>
        <v>101.35394956785839</v>
      </c>
      <c r="O120" s="286">
        <f>(N120-100)/100*P120*0.3389</f>
        <v>3.317510866796324</v>
      </c>
      <c r="P120" s="300">
        <v>723</v>
      </c>
      <c r="Q120" s="300">
        <f>P120-X120-AA120-AB120-AC120</f>
        <v>663</v>
      </c>
      <c r="R120" s="300" t="s">
        <v>19</v>
      </c>
      <c r="S120" s="300">
        <v>194</v>
      </c>
      <c r="T120" s="300">
        <v>27</v>
      </c>
      <c r="U120" s="300">
        <v>7</v>
      </c>
      <c r="V120" s="300">
        <v>22</v>
      </c>
      <c r="W120" s="300">
        <v>108</v>
      </c>
      <c r="X120" s="300">
        <v>46</v>
      </c>
      <c r="Y120" s="300">
        <v>123</v>
      </c>
      <c r="Z120" s="300">
        <f>S120+T120+U120*2+V120*3</f>
        <v>301</v>
      </c>
      <c r="AA120" s="300">
        <v>4</v>
      </c>
      <c r="AB120" s="300">
        <v>0</v>
      </c>
      <c r="AC120" s="300">
        <v>10</v>
      </c>
      <c r="AD120" s="9"/>
      <c r="AE120" s="37"/>
      <c r="AF120" s="37"/>
      <c r="AG120" s="37"/>
      <c r="AH120" s="38"/>
    </row>
    <row r="121" spans="1:34" x14ac:dyDescent="0.2">
      <c r="A121" s="9"/>
      <c r="B121" s="298">
        <v>2003</v>
      </c>
      <c r="C121" s="299" t="s">
        <v>536</v>
      </c>
      <c r="D121" s="292">
        <f>(S121-V121)/(Q121-V121-Y121+AC121)</f>
        <v>0.31877729257641924</v>
      </c>
      <c r="E121" s="292">
        <f>Z121/P121</f>
        <v>0.40314960629921259</v>
      </c>
      <c r="F121" s="292">
        <f>(T121+U121+V121)/S121</f>
        <v>0.31901840490797545</v>
      </c>
      <c r="G121" s="292">
        <f>(Z121+W121)/P121</f>
        <v>0.51811023622047248</v>
      </c>
      <c r="H121" s="292">
        <f>(Z121/Q121)+((S121+X121+AA121)/(Q121+X121+AA121+AC121))</f>
        <v>0.78911969694391981</v>
      </c>
      <c r="I121" s="292">
        <f>V121/Z121</f>
        <v>6.640625E-2</v>
      </c>
      <c r="J121" s="292">
        <f>(AB121+AC121)/Z121</f>
        <v>8.203125E-2</v>
      </c>
      <c r="K121" s="292">
        <f>Y121/P121</f>
        <v>0.15748031496062992</v>
      </c>
      <c r="L121" s="292">
        <f>(X121+AA121)/P121</f>
        <v>7.4015748031496062E-2</v>
      </c>
      <c r="M121" s="293">
        <f>(D121*0.7635+E121*0.7562+F121*0.75+G121*0.7248+H121*0.7021+I121*0.6285+1-J121*0.5884+1-K121*0.5276+L121*0.3663)/6.931</f>
        <v>0.52727943041973391</v>
      </c>
      <c r="N121" s="294">
        <f>M121/0.5222*100</f>
        <v>100.9726982803014</v>
      </c>
      <c r="O121" s="286">
        <f>(N121-100)/100*P121*0.3389</f>
        <v>2.0932612896828191</v>
      </c>
      <c r="P121" s="300">
        <v>635</v>
      </c>
      <c r="Q121" s="300">
        <f>P121-X121-AA121-AB121-AC121</f>
        <v>567</v>
      </c>
      <c r="R121" s="300" t="s">
        <v>19</v>
      </c>
      <c r="S121" s="300">
        <v>163</v>
      </c>
      <c r="T121" s="300">
        <v>28</v>
      </c>
      <c r="U121" s="300">
        <v>7</v>
      </c>
      <c r="V121" s="300">
        <v>17</v>
      </c>
      <c r="W121" s="300">
        <v>73</v>
      </c>
      <c r="X121" s="300">
        <v>29</v>
      </c>
      <c r="Y121" s="300">
        <v>100</v>
      </c>
      <c r="Z121" s="300">
        <f>S121+T121+U121*2+V121*3</f>
        <v>256</v>
      </c>
      <c r="AA121" s="300">
        <v>18</v>
      </c>
      <c r="AB121" s="300">
        <v>13</v>
      </c>
      <c r="AC121" s="300">
        <v>8</v>
      </c>
      <c r="AD121" s="9"/>
      <c r="AE121" s="37"/>
      <c r="AF121" s="37"/>
      <c r="AG121" s="37"/>
      <c r="AH121" s="38"/>
    </row>
    <row r="122" spans="1:34" x14ac:dyDescent="0.2">
      <c r="A122" s="9"/>
      <c r="B122" s="301">
        <v>1952</v>
      </c>
      <c r="C122" s="302" t="s">
        <v>611</v>
      </c>
      <c r="D122" s="303">
        <f>(S122-V122)/(Q122-V122-Y122+AC122)</f>
        <v>0.30486202365308807</v>
      </c>
      <c r="E122" s="303">
        <f>Z122/P122</f>
        <v>0.32539682539682541</v>
      </c>
      <c r="F122" s="303">
        <f>(T122+U122+V122)/S122</f>
        <v>0.20901639344262296</v>
      </c>
      <c r="G122" s="303">
        <f>(Z122+R122)/P122</f>
        <v>0.42460317460317459</v>
      </c>
      <c r="H122" s="303">
        <f>(Z122/Q122)+((S122+X122+AA122)/(Q122+X122+AA122+AC122))</f>
        <v>0.72341083961201946</v>
      </c>
      <c r="I122" s="303">
        <f>V122/Z122</f>
        <v>3.6585365853658534E-2</v>
      </c>
      <c r="J122" s="303">
        <f>(AB122+AC122)/Z122</f>
        <v>6.7073170731707321E-2</v>
      </c>
      <c r="K122" s="303">
        <f>Y122/P122</f>
        <v>0.11507936507936507</v>
      </c>
      <c r="L122" s="303">
        <f>(X122+AA122)/P122</f>
        <v>0.10416666666666667</v>
      </c>
      <c r="M122" s="304">
        <f>(1-D122*0.7635+1-E122*0.7562+1-F122*0.75+1-G122*0.7248+1-H122*0.7021+1-I122*0.6285+J122*0.5884+K122*0.5276+1-L122*0.3663)/11.068</f>
        <v>0.50485931634308145</v>
      </c>
      <c r="N122" s="308">
        <f>M122/0.5035*100</f>
        <v>100.26997345443525</v>
      </c>
      <c r="O122" s="307">
        <f>(N122-100)/100*P122*0.6611</f>
        <v>1.7990728633295776</v>
      </c>
      <c r="P122" s="300">
        <v>1008</v>
      </c>
      <c r="Q122" s="311">
        <f>P122-X122-AA122-AB122-AC122</f>
        <v>881</v>
      </c>
      <c r="R122" s="300">
        <v>100</v>
      </c>
      <c r="S122" s="300">
        <v>244</v>
      </c>
      <c r="T122" s="300">
        <v>30</v>
      </c>
      <c r="U122" s="300">
        <v>9</v>
      </c>
      <c r="V122" s="300">
        <v>12</v>
      </c>
      <c r="W122" s="300" t="s">
        <v>19</v>
      </c>
      <c r="X122" s="300">
        <v>98</v>
      </c>
      <c r="Y122" s="300">
        <v>116</v>
      </c>
      <c r="Z122" s="300">
        <f>S122+T122+U122*2+V122*3</f>
        <v>328</v>
      </c>
      <c r="AA122" s="300">
        <v>7</v>
      </c>
      <c r="AB122" s="300">
        <v>14</v>
      </c>
      <c r="AC122" s="311">
        <v>8</v>
      </c>
      <c r="AD122" s="9"/>
      <c r="AE122" s="37"/>
      <c r="AF122" s="37"/>
      <c r="AG122" s="37"/>
      <c r="AH122" s="38"/>
    </row>
    <row r="123" spans="1:34" x14ac:dyDescent="0.2">
      <c r="A123" s="9"/>
      <c r="B123" s="298">
        <v>1996</v>
      </c>
      <c r="C123" s="299" t="s">
        <v>547</v>
      </c>
      <c r="D123" s="292">
        <f>(S123-V123)/(Q123-V123-Y123+AC123)</f>
        <v>0.33866666666666667</v>
      </c>
      <c r="E123" s="292">
        <f>Z123/P123</f>
        <v>0.39733840304182511</v>
      </c>
      <c r="F123" s="292">
        <f>(T123+U123+V123)/S123</f>
        <v>0.30215827338129497</v>
      </c>
      <c r="G123" s="292">
        <f>(Z123+W123)/P123</f>
        <v>0.50950570342205326</v>
      </c>
      <c r="H123" s="292">
        <f>(Z123/Q123)+((S123+X123+AA123)/(Q123+X123+AA123+AC123))</f>
        <v>0.78523084554029299</v>
      </c>
      <c r="I123" s="292">
        <f>V123/Z123</f>
        <v>5.7416267942583733E-2</v>
      </c>
      <c r="J123" s="292">
        <f>(AB123+AC123)/Z123</f>
        <v>2.3923444976076555E-2</v>
      </c>
      <c r="K123" s="292">
        <f>Y123/P123</f>
        <v>0.17680608365019013</v>
      </c>
      <c r="L123" s="292">
        <f>(X123+AA123)/P123</f>
        <v>8.17490494296578E-2</v>
      </c>
      <c r="M123" s="293">
        <f>(D123*0.7635+E123*0.7562+F123*0.75+G123*0.7248+H123*0.7021+I123*0.6285+1-J123*0.5884+1-K123*0.5276+L123*0.3663)/6.931</f>
        <v>0.52877357846783679</v>
      </c>
      <c r="N123" s="294">
        <f>M123/0.5238*100</f>
        <v>100.94951860783443</v>
      </c>
      <c r="O123" s="286">
        <f>(N123-100)/100*P123*0.3389</f>
        <v>1.6926251635861727</v>
      </c>
      <c r="P123" s="300">
        <v>526</v>
      </c>
      <c r="Q123" s="300">
        <f>P123-X123-AA123-AB123-AC123</f>
        <v>478</v>
      </c>
      <c r="R123" s="300" t="s">
        <v>19</v>
      </c>
      <c r="S123" s="300">
        <v>139</v>
      </c>
      <c r="T123" s="300">
        <v>26</v>
      </c>
      <c r="U123" s="300">
        <v>4</v>
      </c>
      <c r="V123" s="300">
        <v>12</v>
      </c>
      <c r="W123" s="300">
        <v>59</v>
      </c>
      <c r="X123" s="300">
        <v>41</v>
      </c>
      <c r="Y123" s="300">
        <v>93</v>
      </c>
      <c r="Z123" s="300">
        <f>S123+T123+U123*2+V123*3</f>
        <v>209</v>
      </c>
      <c r="AA123" s="300">
        <v>2</v>
      </c>
      <c r="AB123" s="300">
        <v>3</v>
      </c>
      <c r="AC123" s="300">
        <v>2</v>
      </c>
      <c r="AD123" s="9"/>
      <c r="AE123" s="37"/>
      <c r="AF123" s="37"/>
      <c r="AG123" s="37"/>
      <c r="AH123" s="38"/>
    </row>
    <row r="124" spans="1:34" x14ac:dyDescent="0.2">
      <c r="A124" s="9"/>
      <c r="B124" s="301">
        <v>1967</v>
      </c>
      <c r="C124" s="302" t="s">
        <v>107</v>
      </c>
      <c r="D124" s="303">
        <f>(S124-V124)/(Q124-V124-Y124+AC124)</f>
        <v>0.27443105756358771</v>
      </c>
      <c r="E124" s="303">
        <f>Z124/P124</f>
        <v>0.32167152575315838</v>
      </c>
      <c r="F124" s="303">
        <f>(T124+U124+V124)/S124</f>
        <v>0.27232142857142855</v>
      </c>
      <c r="G124" s="303">
        <f>(Z124+R124)/P124</f>
        <v>0.4042759961127308</v>
      </c>
      <c r="H124" s="303">
        <f>(Z124/Q124)+((S124+X124+AA124)/(Q124+X124+AA124+AC124))</f>
        <v>0.6568074469083125</v>
      </c>
      <c r="I124" s="303">
        <f>V124/Z124</f>
        <v>5.7401812688821753E-2</v>
      </c>
      <c r="J124" s="303">
        <f>(AB124+AC124)/Z124</f>
        <v>4.5317220543806644E-2</v>
      </c>
      <c r="K124" s="303">
        <f>Y124/P124</f>
        <v>0.1652089407191448</v>
      </c>
      <c r="L124" s="303">
        <f>(X124+AA124)/P124</f>
        <v>8.0660835762876582E-2</v>
      </c>
      <c r="M124" s="304">
        <f>(1-D124*0.7635+1-E124*0.7562+1-F124*0.75+1-G124*0.7248+1-H124*0.7021+1-I124*0.6285+J124*0.5884+K124*0.5276+1-L124*0.3663)/11.068</f>
        <v>0.50930835238225403</v>
      </c>
      <c r="N124" s="308">
        <f>M124/0.5086*100</f>
        <v>100.13927494735626</v>
      </c>
      <c r="O124" s="307">
        <f>(N124-100)/100*P124*0.6611</f>
        <v>0.94744833060440248</v>
      </c>
      <c r="P124" s="300">
        <v>1029</v>
      </c>
      <c r="Q124" s="300">
        <f>P124-X124-AA124-AB124-AC124</f>
        <v>931</v>
      </c>
      <c r="R124" s="300">
        <v>85</v>
      </c>
      <c r="S124" s="300">
        <v>224</v>
      </c>
      <c r="T124" s="300">
        <v>34</v>
      </c>
      <c r="U124" s="300">
        <v>8</v>
      </c>
      <c r="V124" s="300">
        <v>19</v>
      </c>
      <c r="W124" s="300" t="s">
        <v>19</v>
      </c>
      <c r="X124" s="300">
        <v>78</v>
      </c>
      <c r="Y124" s="300">
        <v>170</v>
      </c>
      <c r="Z124" s="300">
        <f>S124+T124+U124*2+V124*3</f>
        <v>331</v>
      </c>
      <c r="AA124" s="300">
        <v>5</v>
      </c>
      <c r="AB124" s="300">
        <v>10</v>
      </c>
      <c r="AC124" s="300">
        <v>5</v>
      </c>
      <c r="AD124" s="9"/>
      <c r="AE124" s="37"/>
      <c r="AF124" s="37"/>
      <c r="AG124" s="37"/>
      <c r="AH124" s="38"/>
    </row>
    <row r="125" spans="1:34" x14ac:dyDescent="0.2">
      <c r="A125" s="9"/>
      <c r="B125" s="301">
        <v>2011</v>
      </c>
      <c r="C125" s="302" t="s">
        <v>527</v>
      </c>
      <c r="D125" s="303">
        <f>(S125-V125)/(Q125-V125-Y125+AC125)</f>
        <v>0.22361359570661896</v>
      </c>
      <c r="E125" s="303">
        <f>Z125/P125</f>
        <v>0.33462532299741604</v>
      </c>
      <c r="F125" s="303">
        <f>(T125+U125+V125)/S125</f>
        <v>0.4452054794520548</v>
      </c>
      <c r="G125" s="303">
        <f>(Z125+R125)/P125</f>
        <v>0.41731266149870799</v>
      </c>
      <c r="H125" s="303">
        <f>(Z125/Q125)+((S125+X125+AA125)/(Q125+X125+AA125+AC125))</f>
        <v>0.65985462600165667</v>
      </c>
      <c r="I125" s="303">
        <f>V125/Z125</f>
        <v>8.1081081081081086E-2</v>
      </c>
      <c r="J125" s="303">
        <f>(AB125+AC125)/Z125</f>
        <v>1.1583011583011582E-2</v>
      </c>
      <c r="K125" s="303">
        <f>Y125/P125</f>
        <v>0.15116279069767441</v>
      </c>
      <c r="L125" s="303">
        <f>(X125+AA125)/P125</f>
        <v>9.8191214470284241E-2</v>
      </c>
      <c r="M125" s="304">
        <f>(1-D125*0.7635+1-E125*0.7562+1-F125*0.75+1-G125*0.7248+1-H125*0.7021+1-I125*0.6285+J125*0.5884+K125*0.5276+1-L125*0.3663)/11.068</f>
        <v>0.49477892319623207</v>
      </c>
      <c r="N125" s="308">
        <f>M125/0.4939*100</f>
        <v>100.17795569877141</v>
      </c>
      <c r="O125" s="307">
        <f>(N125-100)/100*P125*0.6611</f>
        <v>0.91058400642322623</v>
      </c>
      <c r="P125" s="300">
        <v>774</v>
      </c>
      <c r="Q125" s="300">
        <f>P125-X125-AA125-AB125-AC125</f>
        <v>695</v>
      </c>
      <c r="R125" s="300">
        <v>64</v>
      </c>
      <c r="S125" s="300">
        <v>146</v>
      </c>
      <c r="T125" s="300">
        <v>38</v>
      </c>
      <c r="U125" s="300">
        <v>6</v>
      </c>
      <c r="V125" s="300">
        <v>21</v>
      </c>
      <c r="W125" s="300" t="s">
        <v>19</v>
      </c>
      <c r="X125" s="300">
        <v>72</v>
      </c>
      <c r="Y125" s="300">
        <v>117</v>
      </c>
      <c r="Z125" s="300">
        <f>S125+T125+U125*2+V125*3</f>
        <v>259</v>
      </c>
      <c r="AA125" s="300">
        <v>4</v>
      </c>
      <c r="AB125" s="300">
        <v>1</v>
      </c>
      <c r="AC125" s="300">
        <v>2</v>
      </c>
      <c r="AD125" s="9"/>
      <c r="AE125" s="37"/>
      <c r="AF125" s="37"/>
      <c r="AG125" s="37"/>
      <c r="AH125" s="38"/>
    </row>
    <row r="126" spans="1:34" x14ac:dyDescent="0.2">
      <c r="A126" s="9"/>
      <c r="B126" s="298">
        <v>1989</v>
      </c>
      <c r="C126" s="299" t="s">
        <v>559</v>
      </c>
      <c r="D126" s="292">
        <f>(S126-V126)/(Q126-V126-Y126+AC126)</f>
        <v>0.33668341708542715</v>
      </c>
      <c r="E126" s="292">
        <f>Z126/P126</f>
        <v>0.35533980582524272</v>
      </c>
      <c r="F126" s="292">
        <f>(T126+U126+V126)/S126</f>
        <v>0.22302158273381295</v>
      </c>
      <c r="G126" s="292">
        <f>(Z126+W126)/P126</f>
        <v>0.44466019417475727</v>
      </c>
      <c r="H126" s="292">
        <f>(Z126/Q126)+((S126+X126+AA126)/(Q126+X126+AA126+AC126))</f>
        <v>0.7205458089668616</v>
      </c>
      <c r="I126" s="292">
        <f>V126/Z126</f>
        <v>2.7322404371584699E-2</v>
      </c>
      <c r="J126" s="292">
        <f>(AB126+AC126)/Z126</f>
        <v>3.825136612021858E-2</v>
      </c>
      <c r="K126" s="292">
        <f>Y126/P126</f>
        <v>0.14951456310679612</v>
      </c>
      <c r="L126" s="292">
        <f>(X126+AA126)/P126</f>
        <v>6.4077669902912623E-2</v>
      </c>
      <c r="M126" s="293">
        <f>(D126*0.7635+E126*0.7562+F126*0.75+G126*0.7248+H126*0.7021+I126*0.6285+1-J126*0.5884+1-K126*0.5276+L126*0.3663)/6.931</f>
        <v>0.49927422488621048</v>
      </c>
      <c r="N126" s="294">
        <f>M126/0.497*100</f>
        <v>100.45759052036429</v>
      </c>
      <c r="O126" s="286">
        <f>(N126-100)/100*P126*0.3389</f>
        <v>0.79864875086001119</v>
      </c>
      <c r="P126" s="300">
        <v>515</v>
      </c>
      <c r="Q126" s="300">
        <f>P126-X126-AA126-AB126-AC126</f>
        <v>475</v>
      </c>
      <c r="R126" s="300" t="s">
        <v>19</v>
      </c>
      <c r="S126" s="300">
        <v>139</v>
      </c>
      <c r="T126" s="300">
        <v>23</v>
      </c>
      <c r="U126" s="300">
        <v>3</v>
      </c>
      <c r="V126" s="300">
        <v>5</v>
      </c>
      <c r="W126" s="300">
        <v>46</v>
      </c>
      <c r="X126" s="300">
        <v>27</v>
      </c>
      <c r="Y126" s="300">
        <v>77</v>
      </c>
      <c r="Z126" s="300">
        <f>S126+T126+U126*2+V126*3</f>
        <v>183</v>
      </c>
      <c r="AA126" s="300">
        <v>6</v>
      </c>
      <c r="AB126" s="300">
        <v>2</v>
      </c>
      <c r="AC126" s="300">
        <v>5</v>
      </c>
      <c r="AD126" s="9"/>
      <c r="AE126" s="37"/>
      <c r="AF126" s="37"/>
      <c r="AG126" s="37"/>
      <c r="AH126" s="38"/>
    </row>
    <row r="127" spans="1:34" x14ac:dyDescent="0.2">
      <c r="A127" s="9"/>
      <c r="B127" s="298">
        <v>1966</v>
      </c>
      <c r="C127" s="299" t="s">
        <v>591</v>
      </c>
      <c r="D127" s="292">
        <f>(S127-V127)/(Q127-V127-Y127+AC127)</f>
        <v>0.28712871287128711</v>
      </c>
      <c r="E127" s="292">
        <f>Z127/P127</f>
        <v>0.356401384083045</v>
      </c>
      <c r="F127" s="292">
        <f>(T127+U127+V127)/S127</f>
        <v>0.21428571428571427</v>
      </c>
      <c r="G127" s="292">
        <f>(Z127+W127)/P127</f>
        <v>0.44117647058823528</v>
      </c>
      <c r="H127" s="292">
        <f>(Z127/Q127)+((S127+X127+AA127)/(Q127+X127+AA127+AC127))</f>
        <v>0.69531022805849774</v>
      </c>
      <c r="I127" s="292">
        <f>V127/Z127</f>
        <v>4.3689320388349516E-2</v>
      </c>
      <c r="J127" s="292">
        <f>(AB127+AC127)/Z127</f>
        <v>4.8543689320388349E-2</v>
      </c>
      <c r="K127" s="292">
        <f>Y127/P127</f>
        <v>5.3633217993079588E-2</v>
      </c>
      <c r="L127" s="292">
        <f>(X127+AA127)/P127</f>
        <v>4.4982698961937718E-2</v>
      </c>
      <c r="M127" s="293">
        <f>(D127*0.7635+E127*0.7562+F127*0.75+G127*0.7248+H127*0.7021+I127*0.6285+1-J127*0.5884+1-K127*0.5276+L127*0.3663)/6.931</f>
        <v>0.49696518677274654</v>
      </c>
      <c r="N127" s="294">
        <f>M127/0.4957*100</f>
        <v>100.25523235278324</v>
      </c>
      <c r="O127" s="286">
        <f>(N127-100)/100*P127*0.3389</f>
        <v>0.49995985239062452</v>
      </c>
      <c r="P127" s="300">
        <v>578</v>
      </c>
      <c r="Q127" s="300">
        <f>P127-X127-AA127-AB127-AC127</f>
        <v>542</v>
      </c>
      <c r="R127" s="300" t="s">
        <v>19</v>
      </c>
      <c r="S127" s="300">
        <v>154</v>
      </c>
      <c r="T127" s="300">
        <v>23</v>
      </c>
      <c r="U127" s="300">
        <v>1</v>
      </c>
      <c r="V127" s="300">
        <v>9</v>
      </c>
      <c r="W127" s="300">
        <v>49</v>
      </c>
      <c r="X127" s="300">
        <v>24</v>
      </c>
      <c r="Y127" s="300">
        <v>31</v>
      </c>
      <c r="Z127" s="300">
        <f>S127+T127+U127*2+V127*3</f>
        <v>206</v>
      </c>
      <c r="AA127" s="300">
        <v>2</v>
      </c>
      <c r="AB127" s="300">
        <v>7</v>
      </c>
      <c r="AC127" s="300">
        <v>3</v>
      </c>
      <c r="AD127" s="9"/>
      <c r="AE127" s="37"/>
      <c r="AF127" s="37"/>
      <c r="AG127" s="37"/>
      <c r="AH127" s="38"/>
    </row>
    <row r="128" spans="1:34" x14ac:dyDescent="0.2">
      <c r="A128" s="9"/>
      <c r="B128" s="298">
        <v>2004</v>
      </c>
      <c r="C128" s="299" t="s">
        <v>534</v>
      </c>
      <c r="D128" s="292">
        <f>(S128-V128)/(Q128-V128-Y128+AC128)</f>
        <v>0.27835051546391754</v>
      </c>
      <c r="E128" s="292">
        <f>Z128/P128</f>
        <v>0.3723916532905297</v>
      </c>
      <c r="F128" s="292">
        <f>(T128+U128+V128)/S128</f>
        <v>0.43846153846153846</v>
      </c>
      <c r="G128" s="292">
        <f>(Z128+W128)/P128</f>
        <v>0.4751203852327448</v>
      </c>
      <c r="H128" s="292">
        <f>(Z128/Q128)+((S128+X128+AA128)/(Q128+X128+AA128+AC128))</f>
        <v>0.7444582999317122</v>
      </c>
      <c r="I128" s="292">
        <f>V128/Z128</f>
        <v>9.4827586206896547E-2</v>
      </c>
      <c r="J128" s="292">
        <f>(AB128+AC128)/Z128</f>
        <v>4.7413793103448273E-2</v>
      </c>
      <c r="K128" s="292">
        <f>Y128/P128</f>
        <v>0.22632423756019263</v>
      </c>
      <c r="L128" s="292">
        <f>(X128+AA128)/P128</f>
        <v>0.10754414125200643</v>
      </c>
      <c r="M128" s="293">
        <f>(D128*0.7635+E128*0.7562+F128*0.75+G128*0.7248+H128*0.7021+I128*0.6285+1-J128*0.5884+1-K128*0.5276+L128*0.3663)/6.931</f>
        <v>0.52542293774242088</v>
      </c>
      <c r="N128" s="294">
        <f>M128/0.5246*100</f>
        <v>100.15686956584462</v>
      </c>
      <c r="O128" s="286">
        <f>(N128-100)/100*P128*0.3389</f>
        <v>0.33120608723733236</v>
      </c>
      <c r="P128" s="300">
        <v>623</v>
      </c>
      <c r="Q128" s="300">
        <f>P128-X128-AA128-AB128-AC128</f>
        <v>545</v>
      </c>
      <c r="R128" s="300" t="s">
        <v>19</v>
      </c>
      <c r="S128" s="300">
        <v>130</v>
      </c>
      <c r="T128" s="300">
        <v>34</v>
      </c>
      <c r="U128" s="300">
        <v>1</v>
      </c>
      <c r="V128" s="300">
        <v>22</v>
      </c>
      <c r="W128" s="300">
        <v>64</v>
      </c>
      <c r="X128" s="300">
        <v>58</v>
      </c>
      <c r="Y128" s="300">
        <v>141</v>
      </c>
      <c r="Z128" s="300">
        <f>S128+T128+U128*2+V128*3</f>
        <v>232</v>
      </c>
      <c r="AA128" s="300">
        <v>9</v>
      </c>
      <c r="AB128" s="300">
        <v>5</v>
      </c>
      <c r="AC128" s="300">
        <v>6</v>
      </c>
      <c r="AD128" s="9"/>
      <c r="AE128" s="37"/>
      <c r="AF128" s="37"/>
      <c r="AG128" s="37"/>
      <c r="AH128" s="38"/>
    </row>
    <row r="129" spans="1:34" x14ac:dyDescent="0.2">
      <c r="A129" s="9"/>
      <c r="B129" s="298">
        <v>1965</v>
      </c>
      <c r="C129" s="299" t="s">
        <v>593</v>
      </c>
      <c r="D129" s="292">
        <f>(S129-V129)/(Q129-V129-Y129+AC129)</f>
        <v>0.27927927927927926</v>
      </c>
      <c r="E129" s="292">
        <f>Z129/P129</f>
        <v>0.31854199683042789</v>
      </c>
      <c r="F129" s="292">
        <f>(T129+U129+V129)/S129</f>
        <v>0.27205882352941174</v>
      </c>
      <c r="G129" s="292">
        <f>(Z129+W129)/P129</f>
        <v>0.42789223454833597</v>
      </c>
      <c r="H129" s="292">
        <f>(Z129/Q129)+((S129+X129+AA129)/(Q129+X129+AA129+AC129))</f>
        <v>0.70603923936724455</v>
      </c>
      <c r="I129" s="292">
        <f>V129/Z129</f>
        <v>5.9701492537313432E-2</v>
      </c>
      <c r="J129" s="292">
        <f>(AB129+AC129)/Z129</f>
        <v>6.965174129353234E-2</v>
      </c>
      <c r="K129" s="292">
        <f>Y129/P129</f>
        <v>0.14580031695721077</v>
      </c>
      <c r="L129" s="292">
        <f>(X129+AA129)/P129</f>
        <v>0.11568938193343899</v>
      </c>
      <c r="M129" s="293">
        <f>(D129*0.7635+E129*0.7562+F129*0.75+G129*0.7248+H129*0.7021+I129*0.6285+1-J129*0.5884+1-K129*0.5276+L129*0.3663)/6.931</f>
        <v>0.49430007557329614</v>
      </c>
      <c r="N129" s="294">
        <f>M129/0.4939*100</f>
        <v>100.0810033555975</v>
      </c>
      <c r="O129" s="286">
        <f>(N129-100)/100*P129*0.3389</f>
        <v>0.17322235480767958</v>
      </c>
      <c r="P129" s="300">
        <v>631</v>
      </c>
      <c r="Q129" s="300">
        <f>P129-X129-AA129-AB129-AC129</f>
        <v>544</v>
      </c>
      <c r="R129" s="300" t="s">
        <v>19</v>
      </c>
      <c r="S129" s="300">
        <v>136</v>
      </c>
      <c r="T129" s="300">
        <v>21</v>
      </c>
      <c r="U129" s="300">
        <v>4</v>
      </c>
      <c r="V129" s="300">
        <v>12</v>
      </c>
      <c r="W129" s="300">
        <v>69</v>
      </c>
      <c r="X129" s="300">
        <v>71</v>
      </c>
      <c r="Y129" s="300">
        <v>92</v>
      </c>
      <c r="Z129" s="300">
        <f>S129+T129+U129*2+V129*3</f>
        <v>201</v>
      </c>
      <c r="AA129" s="300">
        <v>2</v>
      </c>
      <c r="AB129" s="300">
        <v>10</v>
      </c>
      <c r="AC129" s="300">
        <v>4</v>
      </c>
      <c r="AD129" s="9"/>
      <c r="AE129" s="37"/>
      <c r="AF129" s="37"/>
      <c r="AG129" s="37"/>
      <c r="AH129" s="38"/>
    </row>
    <row r="130" spans="1:34" x14ac:dyDescent="0.2">
      <c r="A130" s="9"/>
      <c r="B130" s="310">
        <v>2020</v>
      </c>
      <c r="C130" s="269" t="s">
        <v>516</v>
      </c>
      <c r="D130" s="270">
        <f>(S130-V130)/(Q130-V130-Y130+AC130)</f>
        <v>0.34126984126984128</v>
      </c>
      <c r="E130" s="270">
        <f>Z130/P130</f>
        <v>0.37190082644628097</v>
      </c>
      <c r="F130" s="270">
        <f>(T130+U130+V130)/S130</f>
        <v>0.25925925925925924</v>
      </c>
      <c r="G130" s="270">
        <f>(Z130+W130)/P130</f>
        <v>0.48760330578512395</v>
      </c>
      <c r="H130" s="270">
        <f>(Z130/Q130)+((S130+X130+AA130)/(Q130+X130+AA130+AC130))</f>
        <v>0.80052956751985871</v>
      </c>
      <c r="I130" s="270">
        <f>V130/Z130</f>
        <v>0.12222222222222222</v>
      </c>
      <c r="J130" s="270">
        <f>(AB130+AC130)/Z130</f>
        <v>2.2222222222222223E-2</v>
      </c>
      <c r="K130" s="270">
        <f>Y130/P130</f>
        <v>0.29338842975206614</v>
      </c>
      <c r="L130" s="270">
        <f>(X130+AA130)/P130</f>
        <v>0.14049586776859505</v>
      </c>
      <c r="M130" s="271">
        <f>(D130*0.7635+E130*0.7562+F130*0.75+G130*0.7248+H130*0.7021+I130*0.6285+1-J130*0.5884+1-K130*0.5276+L130*0.3663)/6.931</f>
        <v>0.52115352337887089</v>
      </c>
      <c r="N130" s="272">
        <f>M130/0.5234*100</f>
        <v>99.570791627602389</v>
      </c>
      <c r="O130" s="273">
        <f>(N130-100)/100*P130*0.3389</f>
        <v>-0.35201009612143153</v>
      </c>
      <c r="P130" s="300">
        <v>242</v>
      </c>
      <c r="Q130" s="300">
        <f>P130-X130-AA130-AB130-AC130</f>
        <v>206</v>
      </c>
      <c r="R130" s="300" t="s">
        <v>19</v>
      </c>
      <c r="S130" s="300">
        <v>54</v>
      </c>
      <c r="T130" s="300">
        <v>3</v>
      </c>
      <c r="U130" s="300">
        <v>0</v>
      </c>
      <c r="V130" s="300">
        <v>11</v>
      </c>
      <c r="W130" s="300">
        <v>28</v>
      </c>
      <c r="X130" s="300">
        <v>34</v>
      </c>
      <c r="Y130" s="300">
        <v>71</v>
      </c>
      <c r="Z130" s="300">
        <f>S130+T130+U130*2+V130*3</f>
        <v>90</v>
      </c>
      <c r="AA130" s="300">
        <v>0</v>
      </c>
      <c r="AB130" s="300">
        <v>0</v>
      </c>
      <c r="AC130" s="300">
        <v>2</v>
      </c>
      <c r="AD130" s="9"/>
      <c r="AE130" s="37"/>
      <c r="AF130" s="37"/>
      <c r="AG130" s="37"/>
      <c r="AH130" s="38"/>
    </row>
    <row r="131" spans="1:34" x14ac:dyDescent="0.2">
      <c r="A131" s="9"/>
      <c r="B131" s="310">
        <v>1963</v>
      </c>
      <c r="C131" s="269" t="s">
        <v>381</v>
      </c>
      <c r="D131" s="270">
        <f>(S131-V131)/(Q131-V131-Y131+AC131)</f>
        <v>0.29710144927536231</v>
      </c>
      <c r="E131" s="270">
        <f>Z131/P131</f>
        <v>0.33189655172413796</v>
      </c>
      <c r="F131" s="270">
        <f>(T131+U131+V131)/S131</f>
        <v>0.23529411764705882</v>
      </c>
      <c r="G131" s="270">
        <f>(Z131+W131)/P131</f>
        <v>0.39080459770114945</v>
      </c>
      <c r="H131" s="270">
        <f>(Z131/Q131)+((S131+X131+AA131)/(Q131+X131+AA131+AC131))</f>
        <v>0.70352564102564097</v>
      </c>
      <c r="I131" s="270">
        <f>V131/Z131</f>
        <v>2.5974025974025976E-2</v>
      </c>
      <c r="J131" s="270">
        <f>(AB131+AC131)/Z131</f>
        <v>5.1948051948051951E-2</v>
      </c>
      <c r="K131" s="270">
        <f>Y131/P131</f>
        <v>0.10344827586206896</v>
      </c>
      <c r="L131" s="270">
        <f>(X131+AA131)/P131</f>
        <v>8.6206896551724144E-2</v>
      </c>
      <c r="M131" s="271">
        <f>(D131*0.7635+E131*0.7562+F131*0.75+G131*0.7248+H131*0.7021+I131*0.6285+1-J131*0.5884+1-K131*0.5276+L131*0.3663)/6.931</f>
        <v>0.48971937087999318</v>
      </c>
      <c r="N131" s="272">
        <f>M131/0.4936*100</f>
        <v>99.21381095623849</v>
      </c>
      <c r="O131" s="273">
        <f>(N131-100)/100*P131*0.3389</f>
        <v>-1.8544186898381996</v>
      </c>
      <c r="P131" s="300">
        <v>696</v>
      </c>
      <c r="Q131" s="300">
        <f>P131-X131-AA131-AB131-AC131</f>
        <v>624</v>
      </c>
      <c r="R131" s="300" t="s">
        <v>19</v>
      </c>
      <c r="S131" s="300">
        <v>170</v>
      </c>
      <c r="T131" s="300">
        <v>25</v>
      </c>
      <c r="U131" s="300">
        <v>9</v>
      </c>
      <c r="V131" s="300">
        <v>6</v>
      </c>
      <c r="W131" s="300">
        <v>41</v>
      </c>
      <c r="X131" s="300">
        <v>55</v>
      </c>
      <c r="Y131" s="300">
        <v>72</v>
      </c>
      <c r="Z131" s="300">
        <f>S131+T131+U131*2+V131*3</f>
        <v>231</v>
      </c>
      <c r="AA131" s="300">
        <v>5</v>
      </c>
      <c r="AB131" s="300">
        <v>6</v>
      </c>
      <c r="AC131" s="300">
        <v>6</v>
      </c>
      <c r="AD131" s="9"/>
      <c r="AE131" s="37"/>
      <c r="AF131" s="37"/>
      <c r="AG131" s="37"/>
      <c r="AH131" s="38"/>
    </row>
    <row r="132" spans="1:34" x14ac:dyDescent="0.2">
      <c r="A132" s="9"/>
      <c r="B132" s="310">
        <v>1996</v>
      </c>
      <c r="C132" s="269" t="s">
        <v>20</v>
      </c>
      <c r="D132" s="270">
        <f>(S132-V132)/(Q132-V132-Y132+AC132)</f>
        <v>0.36116910229645094</v>
      </c>
      <c r="E132" s="270">
        <f>Z132/P132</f>
        <v>0.38226299694189603</v>
      </c>
      <c r="F132" s="270">
        <f>(T132+U132+V132)/S132</f>
        <v>0.22404371584699453</v>
      </c>
      <c r="G132" s="270">
        <f>(Z132+W132)/P132</f>
        <v>0.50152905198776754</v>
      </c>
      <c r="H132" s="270">
        <f>(Z132/Q132)+((S132+X132+AA132)/(Q132+X132+AA132+AC132))</f>
        <v>0.79992363497518126</v>
      </c>
      <c r="I132" s="270">
        <f>V132/Z132</f>
        <v>0.04</v>
      </c>
      <c r="J132" s="270">
        <f>(AB132+AC132)/Z132</f>
        <v>0.06</v>
      </c>
      <c r="K132" s="270">
        <f>Y132/P132</f>
        <v>0.15596330275229359</v>
      </c>
      <c r="L132" s="270">
        <f>(X132+AA132)/P132</f>
        <v>8.7155963302752298E-2</v>
      </c>
      <c r="M132" s="271">
        <f>(D132*0.7635+E132*0.7562+F132*0.75+G132*0.7248+H132*0.7021+I132*0.6285+1-J132*0.5884+1-K132*0.5276+L132*0.3663)/6.931</f>
        <v>0.51903943249149398</v>
      </c>
      <c r="N132" s="272">
        <f>M132/0.5238*100</f>
        <v>99.091147860155388</v>
      </c>
      <c r="O132" s="273">
        <f>(N132-100)/100*P132*0.3389</f>
        <v>-2.014385335864437</v>
      </c>
      <c r="P132" s="300">
        <v>654</v>
      </c>
      <c r="Q132" s="300">
        <f>P132-X132-AA132-AB132-AC132</f>
        <v>582</v>
      </c>
      <c r="R132" s="300" t="s">
        <v>19</v>
      </c>
      <c r="S132" s="300">
        <v>183</v>
      </c>
      <c r="T132" s="300">
        <v>25</v>
      </c>
      <c r="U132" s="300">
        <v>6</v>
      </c>
      <c r="V132" s="300">
        <v>10</v>
      </c>
      <c r="W132" s="300">
        <v>78</v>
      </c>
      <c r="X132" s="300">
        <v>48</v>
      </c>
      <c r="Y132" s="300">
        <v>102</v>
      </c>
      <c r="Z132" s="300">
        <f>S132+T132+U132*2+V132*3</f>
        <v>250</v>
      </c>
      <c r="AA132" s="300">
        <v>9</v>
      </c>
      <c r="AB132" s="300">
        <v>6</v>
      </c>
      <c r="AC132" s="300">
        <v>9</v>
      </c>
      <c r="AD132" s="9"/>
      <c r="AE132" s="37"/>
      <c r="AF132" s="37"/>
      <c r="AG132" s="37"/>
      <c r="AH132" s="38"/>
    </row>
    <row r="133" spans="1:34" x14ac:dyDescent="0.2">
      <c r="A133" s="9"/>
      <c r="B133" s="310">
        <v>1953</v>
      </c>
      <c r="C133" s="269" t="s">
        <v>609</v>
      </c>
      <c r="D133" s="270">
        <f>(S133-V133)/(Q133-V133-Y133+AC133)</f>
        <v>0.32043343653250772</v>
      </c>
      <c r="E133" s="270">
        <f>Z133/P133</f>
        <v>0.35841313269493846</v>
      </c>
      <c r="F133" s="270">
        <f>(T133+U133+V133)/S133</f>
        <v>0.20095693779904306</v>
      </c>
      <c r="G133" s="270">
        <f>(Z133+W133)/P133</f>
        <v>0.42407660738714092</v>
      </c>
      <c r="H133" s="270">
        <f>(Z133/Q133)+((S133+X133+AA133)/(Q133+X133+AA133+AC133))</f>
        <v>0.74546601803415502</v>
      </c>
      <c r="I133" s="270">
        <f>V133/Z133</f>
        <v>7.6335877862595417E-3</v>
      </c>
      <c r="J133" s="270">
        <f>(AB133+AC133)/Z133</f>
        <v>2.6717557251908396E-2</v>
      </c>
      <c r="K133" s="290">
        <f>Y133/P133</f>
        <v>4.240766073871409E-2</v>
      </c>
      <c r="L133" s="270">
        <f>(X133+AA133)/P133</f>
        <v>6.9767441860465115E-2</v>
      </c>
      <c r="M133" s="271">
        <f>(D133*0.7635+E133*0.7562+F133*0.75+G133*0.7248+H133*0.7021+I133*0.6285+1-J133*0.5884+1-K133*0.5276+L133*0.3663)/6.931</f>
        <v>0.50345140539115973</v>
      </c>
      <c r="N133" s="272">
        <f>M133/0.5088*100</f>
        <v>98.948782506124161</v>
      </c>
      <c r="O133" s="273">
        <f>(N133-100)/100*P133*0.3389</f>
        <v>-2.6042431194107549</v>
      </c>
      <c r="P133" s="300">
        <v>731</v>
      </c>
      <c r="Q133" s="311">
        <f>P133-X133-AA133-AB133-AC133</f>
        <v>673</v>
      </c>
      <c r="R133" s="300" t="s">
        <v>19</v>
      </c>
      <c r="S133" s="300">
        <v>209</v>
      </c>
      <c r="T133" s="300">
        <v>33</v>
      </c>
      <c r="U133" s="300">
        <v>7</v>
      </c>
      <c r="V133" s="300">
        <v>2</v>
      </c>
      <c r="W133" s="300">
        <v>48</v>
      </c>
      <c r="X133" s="300">
        <v>50</v>
      </c>
      <c r="Y133" s="300">
        <v>31</v>
      </c>
      <c r="Z133" s="300">
        <f>S133+T133+U133*2+V133*3</f>
        <v>262</v>
      </c>
      <c r="AA133" s="300">
        <v>1</v>
      </c>
      <c r="AB133" s="300">
        <v>1</v>
      </c>
      <c r="AC133" s="311">
        <v>6</v>
      </c>
      <c r="AD133" s="9"/>
      <c r="AE133" s="37"/>
      <c r="AF133" s="37"/>
      <c r="AG133" s="37"/>
      <c r="AH133" s="38"/>
    </row>
    <row r="134" spans="1:34" x14ac:dyDescent="0.2">
      <c r="A134" s="9"/>
      <c r="B134" s="310">
        <v>1957</v>
      </c>
      <c r="C134" s="269" t="s">
        <v>603</v>
      </c>
      <c r="D134" s="270">
        <f>(S134-V134)/(Q134-V134-Y134+AC134)</f>
        <v>0.32552083333333331</v>
      </c>
      <c r="E134" s="270">
        <f>Z134/P134</f>
        <v>0.34526315789473683</v>
      </c>
      <c r="F134" s="270">
        <f>(T134+U134+V134)/S134</f>
        <v>0.2109375</v>
      </c>
      <c r="G134" s="270">
        <f>(Z134+W134)/P134</f>
        <v>0.42736842105263156</v>
      </c>
      <c r="H134" s="270">
        <f>(Z134/Q134)+((S134+X134+AA134)/(Q134+X134+AA134+AC134))</f>
        <v>0.71600827633310238</v>
      </c>
      <c r="I134" s="270">
        <f>V134/Z134</f>
        <v>1.8292682926829267E-2</v>
      </c>
      <c r="J134" s="270">
        <f>(AB134+AC134)/Z134</f>
        <v>0.10365853658536585</v>
      </c>
      <c r="K134" s="270">
        <f>Y134/P134</f>
        <v>0.10105263157894737</v>
      </c>
      <c r="L134" s="270">
        <f>(X134+AA134)/P134</f>
        <v>5.6842105263157895E-2</v>
      </c>
      <c r="M134" s="271">
        <f>(D134*0.7635+E134*0.7562+F134*0.75+G134*0.7248+H134*0.7021+I134*0.6285+1-J134*0.5884+1-K134*0.5276+L134*0.3663)/6.931</f>
        <v>0.4903047881506194</v>
      </c>
      <c r="N134" s="272">
        <f>M134/0.5044*100</f>
        <v>97.205548800677917</v>
      </c>
      <c r="O134" s="273">
        <f>(N134-100)/100*P134*0.3389</f>
        <v>-4.4984376793887053</v>
      </c>
      <c r="P134" s="300">
        <v>475</v>
      </c>
      <c r="Q134" s="300">
        <f>P134-X134-AA134-AB134-AC134</f>
        <v>431</v>
      </c>
      <c r="R134" s="300" t="s">
        <v>19</v>
      </c>
      <c r="S134" s="300">
        <v>128</v>
      </c>
      <c r="T134" s="300">
        <v>21</v>
      </c>
      <c r="U134" s="300">
        <v>3</v>
      </c>
      <c r="V134" s="300">
        <v>3</v>
      </c>
      <c r="W134" s="300">
        <v>39</v>
      </c>
      <c r="X134" s="300">
        <v>24</v>
      </c>
      <c r="Y134" s="300">
        <v>48</v>
      </c>
      <c r="Z134" s="300">
        <f>S134+T134+U134*2+V134*3</f>
        <v>164</v>
      </c>
      <c r="AA134" s="300">
        <v>3</v>
      </c>
      <c r="AB134" s="300">
        <v>13</v>
      </c>
      <c r="AC134" s="300">
        <v>4</v>
      </c>
      <c r="AD134" s="9"/>
      <c r="AE134" s="37"/>
      <c r="AF134" s="37"/>
      <c r="AG134" s="37"/>
      <c r="AH134" s="38"/>
    </row>
    <row r="135" spans="1:34" x14ac:dyDescent="0.2">
      <c r="A135" s="9"/>
      <c r="B135" s="310">
        <v>1979</v>
      </c>
      <c r="C135" s="269" t="s">
        <v>572</v>
      </c>
      <c r="D135" s="270">
        <f>(S135-V135)/(Q135-V135-Y135+AC135)</f>
        <v>0.33647798742138363</v>
      </c>
      <c r="E135" s="270">
        <f>Z135/P135</f>
        <v>0.35056179775280899</v>
      </c>
      <c r="F135" s="270">
        <f>(T135+U135+V135)/S135</f>
        <v>0.23214285714285715</v>
      </c>
      <c r="G135" s="270">
        <f>(Z135+W135)/P135</f>
        <v>0.46741573033707867</v>
      </c>
      <c r="H135" s="270">
        <f>(Z135/Q135)+((S135+X135+AA135)/(Q135+X135+AA135+AC135))</f>
        <v>0.72791583202497612</v>
      </c>
      <c r="I135" s="270">
        <f>V135/Z135</f>
        <v>3.2051282051282048E-2</v>
      </c>
      <c r="J135" s="270">
        <f>(AB135+AC135)/Z135</f>
        <v>0.15384615384615385</v>
      </c>
      <c r="K135" s="270">
        <f>Y135/P135</f>
        <v>0.16179775280898875</v>
      </c>
      <c r="L135" s="270">
        <f>(X135+AA135)/P135</f>
        <v>6.2921348314606745E-2</v>
      </c>
      <c r="M135" s="271">
        <f>(D135*0.7635+E135*0.7562+F135*0.75+G135*0.7248+H135*0.7021+I135*0.6285+1-J135*0.5884+1-K135*0.5276+L135*0.3663)/6.931</f>
        <v>0.49246289050337116</v>
      </c>
      <c r="N135" s="272">
        <f>M135/0.5078*100</f>
        <v>96.979694860845044</v>
      </c>
      <c r="O135" s="273">
        <f>(N135-100)/100*P135*0.3389</f>
        <v>-4.5549372818852856</v>
      </c>
      <c r="P135" s="300">
        <v>445</v>
      </c>
      <c r="Q135" s="300">
        <f>P135-X135-AA135-AB135-AC135</f>
        <v>393</v>
      </c>
      <c r="R135" s="300" t="s">
        <v>19</v>
      </c>
      <c r="S135" s="300">
        <v>112</v>
      </c>
      <c r="T135" s="300">
        <v>13</v>
      </c>
      <c r="U135" s="300">
        <v>8</v>
      </c>
      <c r="V135" s="300">
        <v>5</v>
      </c>
      <c r="W135" s="300">
        <v>52</v>
      </c>
      <c r="X135" s="300">
        <v>27</v>
      </c>
      <c r="Y135" s="300">
        <v>72</v>
      </c>
      <c r="Z135" s="300">
        <f>S135+T135+U135*2+V135*3</f>
        <v>156</v>
      </c>
      <c r="AA135" s="300">
        <v>1</v>
      </c>
      <c r="AB135" s="300">
        <v>22</v>
      </c>
      <c r="AC135" s="300">
        <v>2</v>
      </c>
      <c r="AD135" s="9"/>
      <c r="AE135" s="37"/>
      <c r="AF135" s="37"/>
      <c r="AG135" s="37"/>
      <c r="AH135" s="38"/>
    </row>
    <row r="136" spans="1:34" x14ac:dyDescent="0.2">
      <c r="A136" s="9"/>
      <c r="B136" s="310">
        <v>1969</v>
      </c>
      <c r="C136" s="269" t="s">
        <v>588</v>
      </c>
      <c r="D136" s="270">
        <f>(S136-V136)/(Q136-V136-Y136+AC136)</f>
        <v>0.28519195612431442</v>
      </c>
      <c r="E136" s="270">
        <f>Z136/P136</f>
        <v>0.31076923076923074</v>
      </c>
      <c r="F136" s="270">
        <f>(T136+U136+V136)/S136</f>
        <v>0.18124999999999999</v>
      </c>
      <c r="G136" s="270">
        <f>(Z136+W136)/P136</f>
        <v>0.38153846153846155</v>
      </c>
      <c r="H136" s="270">
        <f>(Z136/Q136)+((S136+X136+AA136)/(Q136+X136+AA136+AC136))</f>
        <v>0.66998598588011316</v>
      </c>
      <c r="I136" s="270">
        <f>V136/Z136</f>
        <v>1.9801980198019802E-2</v>
      </c>
      <c r="J136" s="270">
        <f>(AB136+AC136)/Z136</f>
        <v>4.9504950495049507E-2</v>
      </c>
      <c r="K136" s="270">
        <f>Y136/P136</f>
        <v>6.1538461538461542E-2</v>
      </c>
      <c r="L136" s="270">
        <f>(X136+AA136)/P136</f>
        <v>7.6923076923076927E-2</v>
      </c>
      <c r="M136" s="271">
        <f>(D136*0.7635+E136*0.7562+F136*0.75+G136*0.7248+H136*0.7021+I136*0.6285+1-J136*0.5884+1-K136*0.5276+L136*0.3663)/6.931</f>
        <v>0.47823511049927997</v>
      </c>
      <c r="N136" s="272">
        <f>M136/0.4932*100</f>
        <v>96.965756386715313</v>
      </c>
      <c r="O136" s="273">
        <f>(N136-100)/100*P136*0.3389</f>
        <v>-6.6839835435241728</v>
      </c>
      <c r="P136" s="300">
        <v>650</v>
      </c>
      <c r="Q136" s="300">
        <f>P136-X136-AA136-AB136-AC136</f>
        <v>590</v>
      </c>
      <c r="R136" s="300" t="s">
        <v>19</v>
      </c>
      <c r="S136" s="300">
        <v>160</v>
      </c>
      <c r="T136" s="300">
        <v>20</v>
      </c>
      <c r="U136" s="300">
        <v>5</v>
      </c>
      <c r="V136" s="300">
        <v>4</v>
      </c>
      <c r="W136" s="300">
        <v>46</v>
      </c>
      <c r="X136" s="300">
        <v>45</v>
      </c>
      <c r="Y136" s="300">
        <v>40</v>
      </c>
      <c r="Z136" s="300">
        <f>S136+T136+U136*2+V136*3</f>
        <v>202</v>
      </c>
      <c r="AA136" s="300">
        <v>5</v>
      </c>
      <c r="AB136" s="300">
        <v>9</v>
      </c>
      <c r="AC136" s="300">
        <v>1</v>
      </c>
      <c r="AD136" s="9"/>
      <c r="AE136" s="37"/>
      <c r="AF136" s="37"/>
      <c r="AG136" s="37"/>
      <c r="AH136" s="38"/>
    </row>
    <row r="137" spans="1:34" x14ac:dyDescent="0.2">
      <c r="A137" s="9"/>
      <c r="B137" s="310">
        <v>1991</v>
      </c>
      <c r="C137" s="269" t="s">
        <v>555</v>
      </c>
      <c r="D137" s="270">
        <f>(S137-V137)/(Q137-V137-Y137+AC137)</f>
        <v>0.2975517890772128</v>
      </c>
      <c r="E137" s="270">
        <f>Z137/P137</f>
        <v>0.31132075471698112</v>
      </c>
      <c r="F137" s="270">
        <f>(T137+U137+V137)/S137</f>
        <v>0.19496855345911951</v>
      </c>
      <c r="G137" s="270">
        <f>(Z137+W137)/P137</f>
        <v>0.38993710691823902</v>
      </c>
      <c r="H137" s="270">
        <f>(Z137/Q137)+((S137+X137+AA137)/(Q137+X137+AA137+AC137))</f>
        <v>0.69881264841894764</v>
      </c>
      <c r="I137" s="270">
        <f>V137/Z137</f>
        <v>5.0505050505050509E-3</v>
      </c>
      <c r="J137" s="270">
        <f>(AB137+AC137)/Z137</f>
        <v>3.0303030303030304E-2</v>
      </c>
      <c r="K137" s="270">
        <f>Y137/P137</f>
        <v>6.2893081761006289E-2</v>
      </c>
      <c r="L137" s="270">
        <f>(X137+AA137)/P137</f>
        <v>9.9056603773584911E-2</v>
      </c>
      <c r="M137" s="271">
        <f>(D137*0.7635+E137*0.7562+F137*0.75+G137*0.7248+H137*0.7021+I137*0.6285+1-J137*0.5884+1-K137*0.5276+L137*0.3663)/6.931</f>
        <v>0.48629876204590272</v>
      </c>
      <c r="N137" s="272">
        <f>M137/0.5022*100</f>
        <v>96.833684198706237</v>
      </c>
      <c r="O137" s="273">
        <f>(N137-100)/100*P137*0.3389</f>
        <v>-6.8246897433717804</v>
      </c>
      <c r="P137" s="300">
        <v>636</v>
      </c>
      <c r="Q137" s="300">
        <f>P137-X137-AA137-AB137-AC137</f>
        <v>567</v>
      </c>
      <c r="R137" s="300" t="s">
        <v>19</v>
      </c>
      <c r="S137" s="300">
        <v>159</v>
      </c>
      <c r="T137" s="300">
        <v>24</v>
      </c>
      <c r="U137" s="300">
        <v>6</v>
      </c>
      <c r="V137" s="300">
        <v>1</v>
      </c>
      <c r="W137" s="300">
        <v>50</v>
      </c>
      <c r="X137" s="300">
        <v>59</v>
      </c>
      <c r="Y137" s="300">
        <v>40</v>
      </c>
      <c r="Z137" s="300">
        <f>S137+T137+U137*2+V137*3</f>
        <v>198</v>
      </c>
      <c r="AA137" s="300">
        <v>4</v>
      </c>
      <c r="AB137" s="300">
        <v>1</v>
      </c>
      <c r="AC137" s="300">
        <v>5</v>
      </c>
      <c r="AD137" s="9"/>
      <c r="AE137" s="37"/>
      <c r="AF137" s="37"/>
      <c r="AG137" s="37"/>
      <c r="AH137" s="38"/>
    </row>
    <row r="138" spans="1:34" x14ac:dyDescent="0.2">
      <c r="A138" s="9"/>
      <c r="B138" s="310">
        <v>2002</v>
      </c>
      <c r="C138" s="269" t="s">
        <v>618</v>
      </c>
      <c r="D138" s="270">
        <f>(S138-V138)/(Q138-V138-Y138+AC138)</f>
        <v>0.30809859154929575</v>
      </c>
      <c r="E138" s="270">
        <f>Z138/P138</f>
        <v>0.3910891089108911</v>
      </c>
      <c r="F138" s="270">
        <f>(T138+U138+V138)/S138</f>
        <v>0.30348258706467662</v>
      </c>
      <c r="G138" s="270">
        <f>(Z138+R138)/P138</f>
        <v>0.51732673267326734</v>
      </c>
      <c r="H138" s="270">
        <f>(Z138/Q138)+((S138+X138+AA138)/(Q138+X138+AA138+AC138))</f>
        <v>0.78929790371669317</v>
      </c>
      <c r="I138" s="270">
        <f>V138/Z138</f>
        <v>8.2278481012658222E-2</v>
      </c>
      <c r="J138" s="270">
        <f>(AB138+AC138)/Z138</f>
        <v>3.7974683544303799E-2</v>
      </c>
      <c r="K138" s="270">
        <f>Y138/P138</f>
        <v>0.15717821782178218</v>
      </c>
      <c r="L138" s="270">
        <f>(X138+AA138)/P138</f>
        <v>9.6534653465346537E-2</v>
      </c>
      <c r="M138" s="271">
        <f>(1-D138*0.7635+1-E138*0.7562+1-F138*0.75+1-G138*0.7248+1-H138*0.7021+1-I138*0.6285+J138*0.5884+K138*0.5276+1-L138*0.3663)/11.068</f>
        <v>0.48161253970848789</v>
      </c>
      <c r="N138" s="272">
        <f>M138/0.4879*100</f>
        <v>98.711321932463179</v>
      </c>
      <c r="O138" s="273">
        <f>(N138-100)/100*P138*0.6611</f>
        <v>-6.8837161692246296</v>
      </c>
      <c r="P138" s="300">
        <v>808</v>
      </c>
      <c r="Q138" s="300">
        <f>P138-X138-AA138-AB138-AC138</f>
        <v>718</v>
      </c>
      <c r="R138" s="300">
        <v>102</v>
      </c>
      <c r="S138" s="300">
        <v>201</v>
      </c>
      <c r="T138" s="300">
        <v>33</v>
      </c>
      <c r="U138" s="300">
        <v>2</v>
      </c>
      <c r="V138" s="300">
        <v>26</v>
      </c>
      <c r="W138" s="300" t="s">
        <v>19</v>
      </c>
      <c r="X138" s="300">
        <v>70</v>
      </c>
      <c r="Y138" s="300">
        <v>127</v>
      </c>
      <c r="Z138" s="300">
        <f>S138+T138+U138*2+V138*3</f>
        <v>316</v>
      </c>
      <c r="AA138" s="300">
        <v>8</v>
      </c>
      <c r="AB138" s="300">
        <v>9</v>
      </c>
      <c r="AC138" s="300">
        <v>3</v>
      </c>
      <c r="AD138" s="9"/>
      <c r="AE138" s="37"/>
      <c r="AF138" s="37"/>
      <c r="AG138" s="37"/>
      <c r="AH138" s="38"/>
    </row>
    <row r="139" spans="1:34" x14ac:dyDescent="0.2">
      <c r="A139" s="9"/>
      <c r="B139" s="310">
        <v>1985</v>
      </c>
      <c r="C139" s="269" t="s">
        <v>564</v>
      </c>
      <c r="D139" s="270">
        <f>(S139-V139)/(Q139-V139-Y139+AC139)</f>
        <v>0.29230769230769232</v>
      </c>
      <c r="E139" s="270">
        <f>Z139/P139</f>
        <v>0.34307992202729043</v>
      </c>
      <c r="F139" s="270">
        <f>(T139+U139+V139)/S139</f>
        <v>0.23134328358208955</v>
      </c>
      <c r="G139" s="270">
        <f>(Z139+W139)/P139</f>
        <v>0.40740740740740738</v>
      </c>
      <c r="H139" s="270">
        <f>(Z139/Q139)+((S139+X139+AA139)/(Q139+X139+AA139+AC139))</f>
        <v>0.64954124740376273</v>
      </c>
      <c r="I139" s="270">
        <f>V139/Z139</f>
        <v>5.681818181818182E-3</v>
      </c>
      <c r="J139" s="270">
        <f>(AB139+AC139)/Z139</f>
        <v>5.113636363636364E-2</v>
      </c>
      <c r="K139" s="270">
        <f>Y139/P139</f>
        <v>7.0175438596491224E-2</v>
      </c>
      <c r="L139" s="270">
        <f>(X139+AA139)/P139</f>
        <v>2.5341130604288498E-2</v>
      </c>
      <c r="M139" s="271">
        <f>(D139*0.7635+E139*0.7562+F139*0.75+G139*0.7248+H139*0.7021+I139*0.6285+1-J139*0.5884+1-K139*0.5276+L139*0.3663)/6.931</f>
        <v>0.483796494386391</v>
      </c>
      <c r="N139" s="272">
        <f>M139/0.5058*100</f>
        <v>95.649761642228341</v>
      </c>
      <c r="O139" s="273">
        <f>(N139-100)/100*P139*0.3389</f>
        <v>-7.5631373485724218</v>
      </c>
      <c r="P139" s="300">
        <v>513</v>
      </c>
      <c r="Q139" s="300">
        <f>P139-X139-AA139-AB139-AC139</f>
        <v>491</v>
      </c>
      <c r="R139" s="300" t="s">
        <v>19</v>
      </c>
      <c r="S139" s="300">
        <v>134</v>
      </c>
      <c r="T139" s="300">
        <v>21</v>
      </c>
      <c r="U139" s="300">
        <v>9</v>
      </c>
      <c r="V139" s="300">
        <v>1</v>
      </c>
      <c r="W139" s="300">
        <v>33</v>
      </c>
      <c r="X139" s="300">
        <v>12</v>
      </c>
      <c r="Y139" s="300">
        <v>36</v>
      </c>
      <c r="Z139" s="300">
        <f>S139+T139+U139*2+V139*3</f>
        <v>176</v>
      </c>
      <c r="AA139" s="300">
        <v>1</v>
      </c>
      <c r="AB139" s="300">
        <v>8</v>
      </c>
      <c r="AC139" s="300">
        <v>1</v>
      </c>
      <c r="AD139" s="9"/>
      <c r="AE139" s="37"/>
      <c r="AF139" s="37"/>
      <c r="AG139" s="37"/>
      <c r="AH139" s="38"/>
    </row>
    <row r="140" spans="1:34" x14ac:dyDescent="0.2">
      <c r="A140" s="9"/>
      <c r="B140" s="310">
        <v>1978</v>
      </c>
      <c r="C140" s="269" t="s">
        <v>574</v>
      </c>
      <c r="D140" s="270">
        <f>(S140-V140)/(Q140-V140-Y140+AC140)</f>
        <v>0.31839622641509435</v>
      </c>
      <c r="E140" s="270">
        <f>Z140/P140</f>
        <v>0.30511463844797176</v>
      </c>
      <c r="F140" s="270">
        <f>(T140+U140+V140)/S140</f>
        <v>0.15942028985507245</v>
      </c>
      <c r="G140" s="270">
        <f>(Z140+W140)/P140</f>
        <v>0.40740740740740738</v>
      </c>
      <c r="H140" s="270">
        <f>(Z140/Q140)+((S140+X140+AA140)/(Q140+X140+AA140+AC140))</f>
        <v>0.71844884685383537</v>
      </c>
      <c r="I140" s="270">
        <f>V140/Z140</f>
        <v>1.7341040462427744E-2</v>
      </c>
      <c r="J140" s="270">
        <f>(AB140+AC140)/Z140</f>
        <v>0.12138728323699421</v>
      </c>
      <c r="K140" s="270">
        <f>Y140/P140</f>
        <v>0.1146384479717813</v>
      </c>
      <c r="L140" s="270">
        <f>(X140+AA140)/P140</f>
        <v>0.10934744268077601</v>
      </c>
      <c r="M140" s="271">
        <f>(D140*0.7635+E140*0.7562+F140*0.75+G140*0.7248+H140*0.7021+I140*0.6285+1-J140*0.5884+1-K140*0.5276+L140*0.3663)/6.931</f>
        <v>0.47787412201653395</v>
      </c>
      <c r="N140" s="272">
        <f>M140/0.4982*100</f>
        <v>95.920136896132874</v>
      </c>
      <c r="O140" s="273">
        <f>(N140-100)/100*P140*0.3389</f>
        <v>-7.8397139854562257</v>
      </c>
      <c r="P140" s="300">
        <v>567</v>
      </c>
      <c r="Q140" s="300">
        <f>P140-X140-AA140-AB140-AC140</f>
        <v>484</v>
      </c>
      <c r="R140" s="300" t="s">
        <v>19</v>
      </c>
      <c r="S140" s="300">
        <v>138</v>
      </c>
      <c r="T140" s="300">
        <v>12</v>
      </c>
      <c r="U140" s="300">
        <v>7</v>
      </c>
      <c r="V140" s="300">
        <v>3</v>
      </c>
      <c r="W140" s="300">
        <v>58</v>
      </c>
      <c r="X140" s="300">
        <v>61</v>
      </c>
      <c r="Y140" s="300">
        <v>65</v>
      </c>
      <c r="Z140" s="300">
        <f>S140+T140+U140*2+V140*3</f>
        <v>173</v>
      </c>
      <c r="AA140" s="300">
        <v>1</v>
      </c>
      <c r="AB140" s="300">
        <v>13</v>
      </c>
      <c r="AC140" s="300">
        <v>8</v>
      </c>
      <c r="AD140" s="9"/>
      <c r="AE140" s="37"/>
      <c r="AF140" s="37"/>
      <c r="AG140" s="37"/>
      <c r="AH140" s="38"/>
    </row>
    <row r="141" spans="1:34" x14ac:dyDescent="0.2">
      <c r="A141" s="9"/>
      <c r="B141" s="310">
        <v>1958</v>
      </c>
      <c r="C141" s="269" t="s">
        <v>602</v>
      </c>
      <c r="D141" s="270">
        <f>(S141-V141)/(Q141-V141-Y141+AC141)</f>
        <v>0.28657314629258518</v>
      </c>
      <c r="E141" s="270">
        <f>Z141/P141</f>
        <v>0.31147540983606559</v>
      </c>
      <c r="F141" s="270">
        <f>(T141+U141+V141)/S141</f>
        <v>0.22602739726027396</v>
      </c>
      <c r="G141" s="270">
        <f>(Z141+W141)/P141</f>
        <v>0.36557377049180328</v>
      </c>
      <c r="H141" s="270">
        <f>(Z141/Q141)+((S141+X141+AA141)/(Q141+X141+AA141+AC141))</f>
        <v>0.71241377137997286</v>
      </c>
      <c r="I141" s="270">
        <f>V141/Z141</f>
        <v>1.5789473684210527E-2</v>
      </c>
      <c r="J141" s="270">
        <f>(AB141+AC141)/Z141</f>
        <v>7.3684210526315783E-2</v>
      </c>
      <c r="K141" s="270">
        <f>Y141/P141</f>
        <v>5.0819672131147541E-2</v>
      </c>
      <c r="L141" s="270">
        <f>(X141+AA141)/P141</f>
        <v>0.10819672131147541</v>
      </c>
      <c r="M141" s="271">
        <f>(D141*0.7635+E141*0.7562+F141*0.75+G141*0.7248+H141*0.7021+I141*0.6285+1-J141*0.5884+1-K141*0.5276+L141*0.3663)/6.931</f>
        <v>0.48599023554073106</v>
      </c>
      <c r="N141" s="272">
        <f>M141/0.5062*100</f>
        <v>96.007553445422971</v>
      </c>
      <c r="O141" s="273">
        <f>(N141-100)/100*P141*0.3389</f>
        <v>-8.2535448378115461</v>
      </c>
      <c r="P141" s="300">
        <v>610</v>
      </c>
      <c r="Q141" s="300">
        <f>P141-X141-AA141-AB141-AC141</f>
        <v>530</v>
      </c>
      <c r="R141" s="300" t="s">
        <v>19</v>
      </c>
      <c r="S141" s="300">
        <v>146</v>
      </c>
      <c r="T141" s="300">
        <v>25</v>
      </c>
      <c r="U141" s="300">
        <v>5</v>
      </c>
      <c r="V141" s="300">
        <v>3</v>
      </c>
      <c r="W141" s="300">
        <v>33</v>
      </c>
      <c r="X141" s="300">
        <v>64</v>
      </c>
      <c r="Y141" s="300">
        <v>31</v>
      </c>
      <c r="Z141" s="300">
        <f>S141+T141+U141*2+V141*3</f>
        <v>190</v>
      </c>
      <c r="AA141" s="300">
        <v>2</v>
      </c>
      <c r="AB141" s="300">
        <v>11</v>
      </c>
      <c r="AC141" s="300">
        <v>3</v>
      </c>
      <c r="AD141" s="9"/>
      <c r="AE141" s="37"/>
      <c r="AF141" s="37"/>
      <c r="AG141" s="37"/>
      <c r="AH141" s="38"/>
    </row>
    <row r="142" spans="1:34" x14ac:dyDescent="0.2">
      <c r="A142" s="9"/>
      <c r="B142" s="310">
        <v>1982</v>
      </c>
      <c r="C142" s="269" t="s">
        <v>569</v>
      </c>
      <c r="D142" s="270">
        <f>(S142-V142)/(Q142-V142-Y142+AC142)</f>
        <v>0.30292598967297762</v>
      </c>
      <c r="E142" s="270">
        <f>Z142/P142</f>
        <v>0.32761087267525035</v>
      </c>
      <c r="F142" s="270">
        <f>(T142+U142+V142)/S142</f>
        <v>0.18888888888888888</v>
      </c>
      <c r="G142" s="270">
        <f>(Z142+W142)/P142</f>
        <v>0.39484978540772531</v>
      </c>
      <c r="H142" s="270">
        <f>(Z142/Q142)+((S142+X142+AA142)/(Q142+X142+AA142+AC142))</f>
        <v>0.69420267435882266</v>
      </c>
      <c r="I142" s="270">
        <f>V142/Z142</f>
        <v>1.7467248908296942E-2</v>
      </c>
      <c r="J142" s="270">
        <f>(AB142+AC142)/Z142</f>
        <v>4.3668122270742356E-2</v>
      </c>
      <c r="K142" s="270">
        <f>Y142/P142</f>
        <v>7.5822603719599424E-2</v>
      </c>
      <c r="L142" s="270">
        <f>(X142+AA142)/P142</f>
        <v>7.2961373390557943E-2</v>
      </c>
      <c r="M142" s="271">
        <f>(D142*0.7635+E142*0.7562+F142*0.75+G142*0.7248+H142*0.7021+I142*0.6285+1-J142*0.5884+1-K142*0.5276+L142*0.3663)/6.931</f>
        <v>0.48568495339418821</v>
      </c>
      <c r="N142" s="272">
        <f>M142/0.5036*100</f>
        <v>96.442603930537757</v>
      </c>
      <c r="O142" s="273">
        <f>(N142-100)/100*P142*0.3389</f>
        <v>-8.4271546803058719</v>
      </c>
      <c r="P142" s="300">
        <v>699</v>
      </c>
      <c r="Q142" s="300">
        <f>P142-X142-AA142-AB142-AC142</f>
        <v>638</v>
      </c>
      <c r="R142" s="300" t="s">
        <v>19</v>
      </c>
      <c r="S142" s="300">
        <v>180</v>
      </c>
      <c r="T142" s="300">
        <v>23</v>
      </c>
      <c r="U142" s="300">
        <v>7</v>
      </c>
      <c r="V142" s="300">
        <v>4</v>
      </c>
      <c r="W142" s="300">
        <v>47</v>
      </c>
      <c r="X142" s="300">
        <v>49</v>
      </c>
      <c r="Y142" s="300">
        <v>53</v>
      </c>
      <c r="Z142" s="300">
        <f>S142+T142+U142*2+V142*3</f>
        <v>229</v>
      </c>
      <c r="AA142" s="300">
        <v>2</v>
      </c>
      <c r="AB142" s="300">
        <v>10</v>
      </c>
      <c r="AC142" s="300">
        <v>0</v>
      </c>
      <c r="AD142" s="9"/>
      <c r="AE142" s="37"/>
      <c r="AF142" s="37"/>
      <c r="AG142" s="37"/>
      <c r="AH142" s="38"/>
    </row>
    <row r="143" spans="1:34" x14ac:dyDescent="0.2">
      <c r="A143" s="9"/>
      <c r="B143" s="310">
        <v>1992</v>
      </c>
      <c r="C143" s="269" t="s">
        <v>553</v>
      </c>
      <c r="D143" s="270">
        <f>(S143-V143)/(Q143-V143-Y143+AC143)</f>
        <v>0.36622807017543857</v>
      </c>
      <c r="E143" s="270">
        <f>Z143/P143</f>
        <v>0.31124807395993837</v>
      </c>
      <c r="F143" s="270">
        <f>(T143+U143+V143)/S143</f>
        <v>0.15476190476190477</v>
      </c>
      <c r="G143" s="270">
        <f>(Z143+W143)/P143</f>
        <v>0.38366718027734975</v>
      </c>
      <c r="H143" s="270">
        <f>(Z143/Q143)+((S143+X143+AA143)/(Q143+X143+AA143+AC143))</f>
        <v>0.70052572643246225</v>
      </c>
      <c r="I143" s="270">
        <f>V143/Z143</f>
        <v>4.9504950495049506E-3</v>
      </c>
      <c r="J143" s="270">
        <f>(AB143+AC143)/Z143</f>
        <v>6.9306930693069313E-2</v>
      </c>
      <c r="K143" s="270">
        <f>Y143/P143</f>
        <v>0.19106317411402157</v>
      </c>
      <c r="L143" s="270">
        <f>(X143+AA143)/P143</f>
        <v>8.6286594761171037E-2</v>
      </c>
      <c r="M143" s="271">
        <f>(D143*0.7635+E143*0.7562+F143*0.75+G143*0.7248+H143*0.7021+I143*0.6285+1-J143*0.5884+1-K143*0.5276+L143*0.3663)/6.931</f>
        <v>0.47527145802761611</v>
      </c>
      <c r="N143" s="272">
        <f>M143/0.4982*100</f>
        <v>95.397723409798502</v>
      </c>
      <c r="O143" s="273">
        <f>(N143-100)/100*P143*0.3389</f>
        <v>-10.122527871361177</v>
      </c>
      <c r="P143" s="300">
        <v>649</v>
      </c>
      <c r="Q143" s="300">
        <f>P143-X143-AA143-AB143-AC143</f>
        <v>579</v>
      </c>
      <c r="R143" s="300" t="s">
        <v>19</v>
      </c>
      <c r="S143" s="300">
        <v>168</v>
      </c>
      <c r="T143" s="300">
        <v>19</v>
      </c>
      <c r="U143" s="300">
        <v>6</v>
      </c>
      <c r="V143" s="300">
        <v>1</v>
      </c>
      <c r="W143" s="300">
        <v>47</v>
      </c>
      <c r="X143" s="300">
        <v>55</v>
      </c>
      <c r="Y143" s="300">
        <v>124</v>
      </c>
      <c r="Z143" s="300">
        <f>S143+T143+U143*2+V143*3</f>
        <v>202</v>
      </c>
      <c r="AA143" s="300">
        <v>1</v>
      </c>
      <c r="AB143" s="300">
        <v>12</v>
      </c>
      <c r="AC143" s="300">
        <v>2</v>
      </c>
      <c r="AD143" s="9"/>
      <c r="AE143" s="37"/>
      <c r="AF143" s="37"/>
      <c r="AG143" s="37"/>
      <c r="AH143" s="38"/>
    </row>
    <row r="144" spans="1:34" x14ac:dyDescent="0.2">
      <c r="A144" s="9"/>
      <c r="B144" s="310">
        <v>1970</v>
      </c>
      <c r="C144" s="269" t="s">
        <v>619</v>
      </c>
      <c r="D144" s="270">
        <f>(S144-V144)/(Q144-V144-Y144+AC144)</f>
        <v>0.28253615127919912</v>
      </c>
      <c r="E144" s="270">
        <f>Z144/P144</f>
        <v>0.35467980295566504</v>
      </c>
      <c r="F144" s="270">
        <f>(T144+U144+V144)/S144</f>
        <v>0.302491103202847</v>
      </c>
      <c r="G144" s="270">
        <f>(Z144+R144)/P144</f>
        <v>0.45566502463054187</v>
      </c>
      <c r="H144" s="270">
        <f>(Z144/Q144)+((S144+X144+AA144)/(Q144+X144+AA144+AC144))</f>
        <v>0.74135787922055718</v>
      </c>
      <c r="I144" s="270">
        <f>V144/Z144</f>
        <v>6.25E-2</v>
      </c>
      <c r="J144" s="270">
        <f>(AB144+AC144)/Z144</f>
        <v>3.4722222222222224E-2</v>
      </c>
      <c r="K144" s="270">
        <f>Y144/P144</f>
        <v>0.12643678160919541</v>
      </c>
      <c r="L144" s="270">
        <f>(X144+AA144)/P144</f>
        <v>0.10591133004926108</v>
      </c>
      <c r="M144" s="271">
        <f>(1-D144*0.7635+1-E144*0.7562+1-F144*0.75+1-G144*0.7248+1-H144*0.7021+1-I144*0.6285+J144*0.5884+K144*0.5276+1-L144*0.3663)/11.068</f>
        <v>0.49218423460278965</v>
      </c>
      <c r="N144" s="272">
        <f>M144/0.4989*100</f>
        <v>98.653885468588825</v>
      </c>
      <c r="O144" s="273">
        <f>(N144-100)/100*P144*0.6611</f>
        <v>-10.839180737599998</v>
      </c>
      <c r="P144" s="300">
        <v>1218</v>
      </c>
      <c r="Q144" s="300">
        <f>P144-X144-AA144-AB144-AC144</f>
        <v>1074</v>
      </c>
      <c r="R144" s="300">
        <v>123</v>
      </c>
      <c r="S144" s="300">
        <v>281</v>
      </c>
      <c r="T144" s="300">
        <v>46</v>
      </c>
      <c r="U144" s="300">
        <v>12</v>
      </c>
      <c r="V144" s="300">
        <v>27</v>
      </c>
      <c r="W144" s="300" t="s">
        <v>19</v>
      </c>
      <c r="X144" s="300">
        <v>125</v>
      </c>
      <c r="Y144" s="300">
        <v>154</v>
      </c>
      <c r="Z144" s="300">
        <f>S144+T144+U144*2+V144*3</f>
        <v>432</v>
      </c>
      <c r="AA144" s="300">
        <v>4</v>
      </c>
      <c r="AB144" s="300">
        <v>9</v>
      </c>
      <c r="AC144" s="300">
        <v>6</v>
      </c>
      <c r="AD144" s="9"/>
      <c r="AE144" s="37"/>
      <c r="AF144" s="37"/>
      <c r="AG144" s="37"/>
      <c r="AH144" s="38"/>
    </row>
    <row r="145" spans="1:34" x14ac:dyDescent="0.2">
      <c r="A145" s="9"/>
      <c r="B145" s="310">
        <v>2000</v>
      </c>
      <c r="C145" s="269" t="s">
        <v>540</v>
      </c>
      <c r="D145" s="270">
        <f>(S145-V145)/(Q145-V145-Y145+AC145)</f>
        <v>0.34852546916890081</v>
      </c>
      <c r="E145" s="270">
        <f>Z145/P145</f>
        <v>0.3210332103321033</v>
      </c>
      <c r="F145" s="270">
        <f>(T145+U145+V145)/S145</f>
        <v>0.20895522388059701</v>
      </c>
      <c r="G145" s="270">
        <f>(Z145+W145)/P145</f>
        <v>0.38929889298892989</v>
      </c>
      <c r="H145" s="270">
        <f>(Z145/Q145)+((S145+X145+AA145)/(Q145+X145+AA145+AC145))</f>
        <v>0.77641383007236664</v>
      </c>
      <c r="I145" s="270">
        <f>V145/Z145</f>
        <v>2.2988505747126436E-2</v>
      </c>
      <c r="J145" s="270">
        <f>(AB145+AC145)/Z145</f>
        <v>6.3218390804597707E-2</v>
      </c>
      <c r="K145" s="270">
        <f>Y145/P145</f>
        <v>0.14760147601476015</v>
      </c>
      <c r="L145" s="270">
        <f>(X145+AA145)/P145</f>
        <v>0.14022140221402213</v>
      </c>
      <c r="M145" s="271">
        <f>(D145*0.7635+E145*0.7562+F145*0.75+G145*0.7248+H145*0.7021+I145*0.6285+1-J145*0.5884+1-K145*0.5276+L145*0.3663)/6.931</f>
        <v>0.49684086720595549</v>
      </c>
      <c r="N145" s="272">
        <f>M145/0.5296*100</f>
        <v>93.814363143118499</v>
      </c>
      <c r="O145" s="273">
        <f>(N145-100)/100*P145*0.3389</f>
        <v>-11.362012832920502</v>
      </c>
      <c r="P145" s="300">
        <v>542</v>
      </c>
      <c r="Q145" s="300">
        <f>P145-X145-AA145-AB145-AC145</f>
        <v>455</v>
      </c>
      <c r="R145" s="300" t="s">
        <v>19</v>
      </c>
      <c r="S145" s="300">
        <v>134</v>
      </c>
      <c r="T145" s="300">
        <v>20</v>
      </c>
      <c r="U145" s="300">
        <v>4</v>
      </c>
      <c r="V145" s="300">
        <v>4</v>
      </c>
      <c r="W145" s="300">
        <v>37</v>
      </c>
      <c r="X145" s="300">
        <v>73</v>
      </c>
      <c r="Y145" s="300">
        <v>80</v>
      </c>
      <c r="Z145" s="300">
        <f>S145+T145+U145*2+V145*3</f>
        <v>174</v>
      </c>
      <c r="AA145" s="300">
        <v>3</v>
      </c>
      <c r="AB145" s="300">
        <v>9</v>
      </c>
      <c r="AC145" s="300">
        <v>2</v>
      </c>
      <c r="AD145" s="9"/>
      <c r="AE145" s="37"/>
      <c r="AF145" s="37"/>
      <c r="AG145" s="37"/>
      <c r="AH145" s="38"/>
    </row>
    <row r="146" spans="1:34" x14ac:dyDescent="0.2">
      <c r="A146" s="9"/>
      <c r="B146" s="310">
        <v>1988</v>
      </c>
      <c r="C146" s="269" t="s">
        <v>560</v>
      </c>
      <c r="D146" s="270">
        <f>(S146-V146)/(Q146-V146-Y146+AC146)</f>
        <v>0.27500000000000002</v>
      </c>
      <c r="E146" s="270">
        <f>Z146/P146</f>
        <v>0.28375733855185908</v>
      </c>
      <c r="F146" s="270">
        <f>(T146+U146+V146)/S146</f>
        <v>0.20353982300884957</v>
      </c>
      <c r="G146" s="270">
        <f>(Z146+W146)/P146</f>
        <v>0.36007827788649704</v>
      </c>
      <c r="H146" s="270">
        <f>(Z146/Q146)+((S146+X146+AA146)/(Q146+X146+AA146+AC146))</f>
        <v>0.63292369675750804</v>
      </c>
      <c r="I146" s="270">
        <f>V146/Z146</f>
        <v>2.0689655172413793E-2</v>
      </c>
      <c r="J146" s="270">
        <f>(AB146+AC146)/Z146</f>
        <v>0.10344827586206896</v>
      </c>
      <c r="K146" s="270">
        <f>Y146/P146</f>
        <v>0.1095890410958904</v>
      </c>
      <c r="L146" s="270">
        <f>(X146+AA146)/P146</f>
        <v>8.6105675146771032E-2</v>
      </c>
      <c r="M146" s="271">
        <f>(D146*0.7635+E146*0.7562+F146*0.75+G146*0.7248+H146*0.7021+I146*0.6285+1-J146*0.5884+1-K146*0.5276+L146*0.3663)/6.931</f>
        <v>0.46290736451562881</v>
      </c>
      <c r="N146" s="272">
        <f>M146/0.4982*100</f>
        <v>92.915970396553362</v>
      </c>
      <c r="O146" s="273">
        <f>(N146-100)/100*P146*0.3389</f>
        <v>-12.267973702627213</v>
      </c>
      <c r="P146" s="300">
        <v>511</v>
      </c>
      <c r="Q146" s="300">
        <f>P146-X146-AA146-AB146-AC146</f>
        <v>452</v>
      </c>
      <c r="R146" s="300" t="s">
        <v>19</v>
      </c>
      <c r="S146" s="300">
        <v>113</v>
      </c>
      <c r="T146" s="300">
        <v>17</v>
      </c>
      <c r="U146" s="300">
        <v>3</v>
      </c>
      <c r="V146" s="300">
        <v>3</v>
      </c>
      <c r="W146" s="300">
        <v>39</v>
      </c>
      <c r="X146" s="300">
        <v>35</v>
      </c>
      <c r="Y146" s="300">
        <v>56</v>
      </c>
      <c r="Z146" s="300">
        <f>S146+T146+U146*2+V146*3</f>
        <v>145</v>
      </c>
      <c r="AA146" s="300">
        <v>9</v>
      </c>
      <c r="AB146" s="300">
        <v>8</v>
      </c>
      <c r="AC146" s="300">
        <v>7</v>
      </c>
      <c r="AD146" s="9"/>
      <c r="AE146" s="37"/>
      <c r="AF146" s="37"/>
      <c r="AG146" s="37"/>
      <c r="AH146" s="38"/>
    </row>
    <row r="147" spans="1:34" x14ac:dyDescent="0.2">
      <c r="A147" s="9"/>
      <c r="B147" s="310">
        <v>1956</v>
      </c>
      <c r="C147" s="269" t="s">
        <v>128</v>
      </c>
      <c r="D147" s="270">
        <f>(S147-V147)/(Q147-V147-Y147+AC147)</f>
        <v>0.29700854700854701</v>
      </c>
      <c r="E147" s="270">
        <f>Z147/P147</f>
        <v>0.31217838765008576</v>
      </c>
      <c r="F147" s="270">
        <f>(T147+U147+V147)/S147</f>
        <v>0.19718309859154928</v>
      </c>
      <c r="G147" s="270">
        <f>(Z147+W147)/P147</f>
        <v>0.40823327615780447</v>
      </c>
      <c r="H147" s="270">
        <f>(Z147/Q147)+((S147+X147+AA147)/(Q147+X147+AA147+AC147))</f>
        <v>0.6525354708731621</v>
      </c>
      <c r="I147" s="270">
        <f>V147/Z147</f>
        <v>1.6483516483516484E-2</v>
      </c>
      <c r="J147" s="270">
        <f>(AB147+AC147)/Z147</f>
        <v>8.2417582417582416E-2</v>
      </c>
      <c r="K147" s="270">
        <f>Y147/P147</f>
        <v>0.10806174957118353</v>
      </c>
      <c r="L147" s="270">
        <f>(X147+AA147)/P147</f>
        <v>6.0034305317324184E-2</v>
      </c>
      <c r="M147" s="271">
        <f>(D147*0.7635+E147*0.7562+F147*0.75+G147*0.7248+H147*0.7021+I147*0.6285+1-J147*0.5884+1-K147*0.5276+L147*0.3663)/6.931</f>
        <v>0.47490951530288134</v>
      </c>
      <c r="N147" s="272">
        <f>M147/0.5079*100</f>
        <v>93.504531463453702</v>
      </c>
      <c r="O147" s="273">
        <f>(N147-100)/100*P147*0.3389</f>
        <v>-12.8336622934172</v>
      </c>
      <c r="P147" s="300">
        <v>583</v>
      </c>
      <c r="Q147" s="300">
        <f>P147-X147-AA147-AB147-AC147</f>
        <v>533</v>
      </c>
      <c r="R147" s="300" t="s">
        <v>19</v>
      </c>
      <c r="S147" s="300">
        <v>142</v>
      </c>
      <c r="T147" s="300">
        <v>19</v>
      </c>
      <c r="U147" s="300">
        <v>6</v>
      </c>
      <c r="V147" s="300">
        <v>3</v>
      </c>
      <c r="W147" s="300">
        <v>56</v>
      </c>
      <c r="X147" s="300">
        <v>34</v>
      </c>
      <c r="Y147" s="300">
        <v>63</v>
      </c>
      <c r="Z147" s="300">
        <f>S147+T147+U147*2+V147*3</f>
        <v>182</v>
      </c>
      <c r="AA147" s="300">
        <v>1</v>
      </c>
      <c r="AB147" s="300">
        <v>14</v>
      </c>
      <c r="AC147" s="300">
        <v>1</v>
      </c>
      <c r="AD147" s="9"/>
      <c r="AE147" s="37"/>
      <c r="AF147" s="37"/>
      <c r="AG147" s="37"/>
      <c r="AH147" s="38"/>
    </row>
    <row r="148" spans="1:34" x14ac:dyDescent="0.2">
      <c r="A148" s="9"/>
      <c r="B148" s="310">
        <v>1979</v>
      </c>
      <c r="C148" s="269" t="s">
        <v>573</v>
      </c>
      <c r="D148" s="270">
        <f>(S148-V148)/(Q148-V148-Y148+AC148)</f>
        <v>0.31216931216931215</v>
      </c>
      <c r="E148" s="270">
        <f>Z148/P148</f>
        <v>0.32946298984034833</v>
      </c>
      <c r="F148" s="270">
        <f>(T148+U148+V148)/S148</f>
        <v>0.18994413407821228</v>
      </c>
      <c r="G148" s="270">
        <f>(Z148+W148)/P148</f>
        <v>0.37445573294629897</v>
      </c>
      <c r="H148" s="270">
        <f>(Z148/Q148)+((S148+X148+AA148)/(Q148+X148+AA148+AC148))</f>
        <v>0.69662008991503788</v>
      </c>
      <c r="I148" s="270">
        <f>V148/Z148</f>
        <v>8.8105726872246704E-3</v>
      </c>
      <c r="J148" s="270">
        <f>(AB148+AC148)/Z148</f>
        <v>8.8105726872246701E-2</v>
      </c>
      <c r="K148" s="270">
        <f>Y148/P148</f>
        <v>8.5631349782293184E-2</v>
      </c>
      <c r="L148" s="270">
        <f>(X148+AA148)/P148</f>
        <v>6.5312046444121918E-2</v>
      </c>
      <c r="M148" s="271">
        <f>(D148*0.7635+E148*0.7562+F148*0.75+G148*0.7248+H148*0.7021+I148*0.6285+1-J148*0.5884+1-K148*0.5276+L148*0.3663)/6.931</f>
        <v>0.47942324360058586</v>
      </c>
      <c r="N148" s="272">
        <f>M148/0.5078*100</f>
        <v>94.411824261635644</v>
      </c>
      <c r="O148" s="273">
        <f>(N148-100)/100*P148*0.3389</f>
        <v>-13.048507700771276</v>
      </c>
      <c r="P148" s="300">
        <v>689</v>
      </c>
      <c r="Q148" s="300">
        <f>P148-X148-AA148-AB148-AC148</f>
        <v>624</v>
      </c>
      <c r="R148" s="300" t="s">
        <v>19</v>
      </c>
      <c r="S148" s="300">
        <v>179</v>
      </c>
      <c r="T148" s="300">
        <v>22</v>
      </c>
      <c r="U148" s="300">
        <v>10</v>
      </c>
      <c r="V148" s="300">
        <v>2</v>
      </c>
      <c r="W148" s="300">
        <v>31</v>
      </c>
      <c r="X148" s="300">
        <v>40</v>
      </c>
      <c r="Y148" s="300">
        <v>59</v>
      </c>
      <c r="Z148" s="300">
        <f>S148+T148+U148*2+V148*3</f>
        <v>227</v>
      </c>
      <c r="AA148" s="300">
        <v>5</v>
      </c>
      <c r="AB148" s="300">
        <v>16</v>
      </c>
      <c r="AC148" s="300">
        <v>4</v>
      </c>
      <c r="AD148" s="9"/>
      <c r="AE148" s="37"/>
      <c r="AF148" s="37"/>
      <c r="AG148" s="37"/>
      <c r="AH148" s="38"/>
    </row>
    <row r="149" spans="1:34" x14ac:dyDescent="0.2">
      <c r="A149" s="9"/>
      <c r="B149" s="310">
        <v>1962</v>
      </c>
      <c r="C149" s="269" t="s">
        <v>597</v>
      </c>
      <c r="D149" s="270">
        <f>(S149-V149)/(Q149-V149-Y149+AC149)</f>
        <v>0.31450094161958569</v>
      </c>
      <c r="E149" s="270">
        <f>Z149/P149</f>
        <v>0.31983240223463688</v>
      </c>
      <c r="F149" s="270">
        <f>(T149+U149+V149)/S149</f>
        <v>0.22093023255813954</v>
      </c>
      <c r="G149" s="270">
        <f>(Z149+W149)/P149</f>
        <v>0.38826815642458101</v>
      </c>
      <c r="H149" s="270">
        <f>(Z149/Q149)+((S149+X149+AA149)/(Q149+X149+AA149+AC149))</f>
        <v>0.64464122255504042</v>
      </c>
      <c r="I149" s="270">
        <f>V149/Z149</f>
        <v>2.1834061135371178E-2</v>
      </c>
      <c r="J149" s="270">
        <f>(AB149+AC149)/Z149</f>
        <v>6.9868995633187769E-2</v>
      </c>
      <c r="K149" s="270">
        <f>Y149/P149</f>
        <v>0.18016759776536312</v>
      </c>
      <c r="L149" s="270">
        <f>(X149+AA149)/P149</f>
        <v>5.3072625698324022E-2</v>
      </c>
      <c r="M149" s="271">
        <f>(D149*0.7635+E149*0.7562+F149*0.75+G149*0.7248+H149*0.7021+I149*0.6285+1-J149*0.5884+1-K149*0.5276+L149*0.3663)/6.931</f>
        <v>0.4730474154743507</v>
      </c>
      <c r="N149" s="272">
        <f>M149/0.5055*100</f>
        <v>93.580101973165327</v>
      </c>
      <c r="O149" s="273">
        <f>(N149-100)/100*P149*0.3389</f>
        <v>-15.57803663966698</v>
      </c>
      <c r="P149" s="300">
        <v>716</v>
      </c>
      <c r="Q149" s="300">
        <f>P149-X149-AA149-AB149-AC149</f>
        <v>662</v>
      </c>
      <c r="R149" s="300" t="s">
        <v>19</v>
      </c>
      <c r="S149" s="300">
        <v>172</v>
      </c>
      <c r="T149" s="300">
        <v>24</v>
      </c>
      <c r="U149" s="300">
        <v>9</v>
      </c>
      <c r="V149" s="300">
        <v>5</v>
      </c>
      <c r="W149" s="300">
        <v>49</v>
      </c>
      <c r="X149" s="300">
        <v>35</v>
      </c>
      <c r="Y149" s="300">
        <v>129</v>
      </c>
      <c r="Z149" s="300">
        <f>S149+T149+U149*2+V149*3</f>
        <v>229</v>
      </c>
      <c r="AA149" s="300">
        <v>3</v>
      </c>
      <c r="AB149" s="300">
        <v>13</v>
      </c>
      <c r="AC149" s="300">
        <v>3</v>
      </c>
      <c r="AD149" s="9"/>
      <c r="AE149" s="37"/>
      <c r="AF149" s="37"/>
      <c r="AG149" s="37"/>
      <c r="AH149" s="38"/>
    </row>
    <row r="150" spans="1:34" x14ac:dyDescent="0.2">
      <c r="A150" s="9"/>
      <c r="B150" s="310">
        <v>1985</v>
      </c>
      <c r="C150" s="269" t="s">
        <v>565</v>
      </c>
      <c r="D150" s="270">
        <f>(S150-V150)/(Q150-V150-Y150+AC150)</f>
        <v>0.32437619961612285</v>
      </c>
      <c r="E150" s="270">
        <f>Z150/P150</f>
        <v>0.30780346820809251</v>
      </c>
      <c r="F150" s="270">
        <f>(T150+U150+V150)/S150</f>
        <v>0.18235294117647058</v>
      </c>
      <c r="G150" s="270">
        <f>(Z150+W150)/P150</f>
        <v>0.36560693641618497</v>
      </c>
      <c r="H150" s="270">
        <f>(Z150/Q150)+((S150+X150+AA150)/(Q150+X150+AA150+AC150))</f>
        <v>0.6551385570294691</v>
      </c>
      <c r="I150" s="270">
        <f>V150/Z150</f>
        <v>4.6948356807511738E-3</v>
      </c>
      <c r="J150" s="270">
        <f>(AB150+AC150)/Z150</f>
        <v>2.8169014084507043E-2</v>
      </c>
      <c r="K150" s="270">
        <f>Y150/P150</f>
        <v>0.16618497109826588</v>
      </c>
      <c r="L150" s="270">
        <f>(X150+AA150)/P150</f>
        <v>7.2254335260115612E-2</v>
      </c>
      <c r="M150" s="271">
        <f>(D150*0.7635+E150*0.7562+F150*0.75+G150*0.7248+H150*0.7021+I150*0.6285+1-J150*0.5884+1-K150*0.5276+L150*0.3663)/6.931</f>
        <v>0.47140603577339873</v>
      </c>
      <c r="N150" s="272">
        <f>M150/0.5058*100</f>
        <v>93.200086155278512</v>
      </c>
      <c r="O150" s="273">
        <f>(N150-100)/100*P150*0.3389</f>
        <v>-15.947076349674695</v>
      </c>
      <c r="P150" s="300">
        <v>692</v>
      </c>
      <c r="Q150" s="300">
        <f>P150-X150-AA150-AB150-AC150</f>
        <v>636</v>
      </c>
      <c r="R150" s="300" t="s">
        <v>19</v>
      </c>
      <c r="S150" s="300">
        <v>170</v>
      </c>
      <c r="T150" s="300">
        <v>20</v>
      </c>
      <c r="U150" s="300">
        <v>10</v>
      </c>
      <c r="V150" s="300">
        <v>1</v>
      </c>
      <c r="W150" s="300">
        <v>40</v>
      </c>
      <c r="X150" s="300">
        <v>50</v>
      </c>
      <c r="Y150" s="300">
        <v>115</v>
      </c>
      <c r="Z150" s="300">
        <f>S150+T150+U150*2+V150*3</f>
        <v>213</v>
      </c>
      <c r="AA150" s="300">
        <v>0</v>
      </c>
      <c r="AB150" s="300">
        <v>5</v>
      </c>
      <c r="AC150" s="300">
        <v>1</v>
      </c>
      <c r="AD150" s="9"/>
      <c r="AE150" s="37"/>
      <c r="AF150" s="37"/>
      <c r="AG150" s="37"/>
      <c r="AH150" s="38"/>
    </row>
    <row r="151" spans="1:34" x14ac:dyDescent="0.2">
      <c r="A151" s="9"/>
      <c r="B151" s="267"/>
      <c r="C151" s="305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9"/>
      <c r="O151" s="156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9"/>
      <c r="AE151" s="37"/>
      <c r="AF151" s="37"/>
      <c r="AG151" s="37"/>
      <c r="AH151" s="38"/>
    </row>
    <row r="152" spans="1:34" x14ac:dyDescent="0.2">
      <c r="A152" s="9"/>
      <c r="B152" s="267"/>
      <c r="C152" s="216" t="s">
        <v>622</v>
      </c>
      <c r="D152" s="215">
        <v>0.3180614601176871</v>
      </c>
      <c r="E152" s="215">
        <v>0.41880459857661856</v>
      </c>
      <c r="F152" s="215">
        <v>0.33994022364559467</v>
      </c>
      <c r="G152" s="215">
        <v>0.54526617443300118</v>
      </c>
      <c r="H152" s="215">
        <v>0.82483562829926216</v>
      </c>
      <c r="I152" s="215">
        <v>7.3757169271046349E-2</v>
      </c>
      <c r="J152" s="215">
        <v>3.5680784280679306E-2</v>
      </c>
      <c r="K152" s="215">
        <v>0.15848101203714532</v>
      </c>
      <c r="L152" s="215">
        <v>9.4830327592644523E-2</v>
      </c>
      <c r="M152" s="215">
        <v>0.54325562289685891</v>
      </c>
      <c r="N152" s="245">
        <v>106.8779931913098</v>
      </c>
      <c r="O152" s="217">
        <v>12.845276411234504</v>
      </c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9"/>
      <c r="AE152" s="37"/>
      <c r="AF152" s="37"/>
      <c r="AG152" s="37"/>
      <c r="AH152" s="38"/>
    </row>
    <row r="153" spans="1:34" x14ac:dyDescent="0.2">
      <c r="A153" s="9"/>
      <c r="B153" s="267"/>
      <c r="C153" s="216" t="s">
        <v>623</v>
      </c>
      <c r="D153" s="215">
        <v>0.26546619102516111</v>
      </c>
      <c r="E153" s="215">
        <v>0.28240961073522519</v>
      </c>
      <c r="F153" s="215">
        <v>0.27902952129616715</v>
      </c>
      <c r="G153" s="215">
        <v>0.36374550651410181</v>
      </c>
      <c r="H153" s="215">
        <v>0.60943470381064746</v>
      </c>
      <c r="I153" s="215">
        <v>5.5732681099008065E-2</v>
      </c>
      <c r="J153" s="215">
        <v>5.2410236329392991E-2</v>
      </c>
      <c r="K153" s="215">
        <v>0.21561769306800382</v>
      </c>
      <c r="L153" s="215">
        <v>9.6256082821242775E-2</v>
      </c>
      <c r="M153" s="215">
        <v>0.52017265184189154</v>
      </c>
      <c r="N153" s="245">
        <v>104.80715136340204</v>
      </c>
      <c r="O153" s="217">
        <v>16.707889449186837</v>
      </c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9"/>
      <c r="AE153" s="37"/>
      <c r="AF153" s="37"/>
      <c r="AG153" s="37"/>
      <c r="AH153" s="38"/>
    </row>
    <row r="154" spans="1:34" x14ac:dyDescent="0.2">
      <c r="A154" s="9"/>
      <c r="B154" s="267"/>
      <c r="C154" s="305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9"/>
      <c r="O154" s="156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9"/>
      <c r="AE154" s="37"/>
      <c r="AF154" s="37"/>
      <c r="AG154" s="37"/>
      <c r="AH154" s="38"/>
    </row>
    <row r="155" spans="1:34" x14ac:dyDescent="0.2">
      <c r="AE155" s="37"/>
      <c r="AF155" s="37"/>
      <c r="AG155" s="37"/>
      <c r="AH155" s="38"/>
    </row>
    <row r="156" spans="1:34" x14ac:dyDescent="0.2">
      <c r="AE156" s="37"/>
      <c r="AF156" s="37"/>
      <c r="AG156" s="37"/>
      <c r="AH156" s="38"/>
    </row>
    <row r="157" spans="1:34" x14ac:dyDescent="0.2">
      <c r="AE157" s="37"/>
      <c r="AF157" s="37"/>
      <c r="AG157" s="37"/>
      <c r="AH157" s="38"/>
    </row>
    <row r="158" spans="1:34" x14ac:dyDescent="0.2">
      <c r="AE158" s="37"/>
      <c r="AF158" s="37"/>
      <c r="AG158" s="37"/>
      <c r="AH158" s="38"/>
    </row>
    <row r="159" spans="1:34" x14ac:dyDescent="0.2">
      <c r="AE159" s="37"/>
      <c r="AF159" s="37"/>
      <c r="AG159" s="37"/>
      <c r="AH159" s="38"/>
    </row>
    <row r="160" spans="1:34" x14ac:dyDescent="0.2">
      <c r="AE160" s="37"/>
      <c r="AF160" s="37"/>
      <c r="AG160" s="37"/>
      <c r="AH160" s="38"/>
    </row>
    <row r="161" spans="31:34" x14ac:dyDescent="0.2">
      <c r="AE161" s="37"/>
      <c r="AF161" s="37"/>
      <c r="AG161" s="37"/>
      <c r="AH161" s="38"/>
    </row>
    <row r="162" spans="31:34" x14ac:dyDescent="0.2">
      <c r="AE162" s="37"/>
      <c r="AF162" s="37"/>
      <c r="AG162" s="37"/>
      <c r="AH162" s="38"/>
    </row>
    <row r="163" spans="31:34" x14ac:dyDescent="0.2">
      <c r="AE163" s="37"/>
      <c r="AF163" s="37"/>
      <c r="AG163" s="37"/>
      <c r="AH163" s="38"/>
    </row>
    <row r="164" spans="31:34" x14ac:dyDescent="0.2">
      <c r="AE164" s="37"/>
      <c r="AF164" s="37"/>
      <c r="AG164" s="37"/>
      <c r="AH164" s="38"/>
    </row>
    <row r="165" spans="31:34" x14ac:dyDescent="0.2">
      <c r="AE165" s="37"/>
      <c r="AF165" s="37"/>
      <c r="AG165" s="37"/>
      <c r="AH165" s="38"/>
    </row>
    <row r="166" spans="31:34" x14ac:dyDescent="0.2">
      <c r="AE166" s="37"/>
      <c r="AF166" s="37"/>
      <c r="AG166" s="37"/>
      <c r="AH166" s="38"/>
    </row>
    <row r="167" spans="31:34" x14ac:dyDescent="0.2">
      <c r="AE167" s="37"/>
      <c r="AF167" s="37"/>
      <c r="AG167" s="37"/>
      <c r="AH167" s="38"/>
    </row>
    <row r="168" spans="31:34" x14ac:dyDescent="0.2">
      <c r="AE168" s="37"/>
      <c r="AF168" s="37"/>
      <c r="AG168" s="37"/>
      <c r="AH168" s="38"/>
    </row>
    <row r="169" spans="31:34" x14ac:dyDescent="0.2">
      <c r="AE169" s="37"/>
      <c r="AF169" s="37"/>
      <c r="AG169" s="37"/>
      <c r="AH169" s="38"/>
    </row>
    <row r="170" spans="31:34" x14ac:dyDescent="0.2">
      <c r="AE170" s="37"/>
      <c r="AF170" s="37"/>
      <c r="AG170" s="37"/>
      <c r="AH170" s="38"/>
    </row>
    <row r="171" spans="31:34" x14ac:dyDescent="0.2">
      <c r="AE171" s="37"/>
      <c r="AF171" s="37"/>
      <c r="AG171" s="37"/>
      <c r="AH171" s="38"/>
    </row>
    <row r="172" spans="31:34" x14ac:dyDescent="0.2">
      <c r="AE172" s="37"/>
      <c r="AF172" s="37"/>
      <c r="AG172" s="37"/>
      <c r="AH172" s="38"/>
    </row>
    <row r="173" spans="31:34" x14ac:dyDescent="0.2">
      <c r="AE173" s="37"/>
      <c r="AF173" s="37"/>
      <c r="AG173" s="37"/>
      <c r="AH173" s="38"/>
    </row>
    <row r="174" spans="31:34" x14ac:dyDescent="0.2">
      <c r="AE174" s="37"/>
      <c r="AF174" s="37"/>
      <c r="AG174" s="37"/>
      <c r="AH174" s="38"/>
    </row>
    <row r="175" spans="31:34" x14ac:dyDescent="0.2">
      <c r="AE175" s="37"/>
      <c r="AF175" s="37"/>
      <c r="AG175" s="37"/>
      <c r="AH175" s="38"/>
    </row>
    <row r="176" spans="31:34" x14ac:dyDescent="0.2">
      <c r="AE176" s="37"/>
      <c r="AF176" s="37"/>
      <c r="AG176" s="37"/>
      <c r="AH176" s="38"/>
    </row>
    <row r="177" spans="31:34" x14ac:dyDescent="0.2">
      <c r="AE177" s="37"/>
      <c r="AF177" s="37"/>
      <c r="AG177" s="37"/>
      <c r="AH177" s="38"/>
    </row>
    <row r="178" spans="31:34" x14ac:dyDescent="0.2">
      <c r="AE178" s="37"/>
      <c r="AF178" s="37"/>
      <c r="AG178" s="37"/>
      <c r="AH178" s="38"/>
    </row>
    <row r="179" spans="31:34" x14ac:dyDescent="0.2">
      <c r="AE179" s="37"/>
      <c r="AF179" s="37"/>
      <c r="AG179" s="37"/>
      <c r="AH179" s="38"/>
    </row>
    <row r="180" spans="31:34" x14ac:dyDescent="0.2">
      <c r="AE180" s="37"/>
      <c r="AF180" s="37"/>
      <c r="AG180" s="37"/>
      <c r="AH180" s="38"/>
    </row>
    <row r="181" spans="31:34" x14ac:dyDescent="0.2">
      <c r="AE181" s="37"/>
      <c r="AF181" s="37"/>
      <c r="AG181" s="37"/>
      <c r="AH181" s="38"/>
    </row>
    <row r="182" spans="31:34" x14ac:dyDescent="0.2">
      <c r="AE182" s="37"/>
      <c r="AF182" s="37"/>
      <c r="AG182" s="37"/>
      <c r="AH182" s="38"/>
    </row>
    <row r="183" spans="31:34" x14ac:dyDescent="0.2">
      <c r="AE183" s="37"/>
      <c r="AF183" s="37"/>
      <c r="AG183" s="37"/>
      <c r="AH183" s="38"/>
    </row>
    <row r="184" spans="31:34" x14ac:dyDescent="0.2">
      <c r="AE184" s="37"/>
      <c r="AF184" s="37"/>
      <c r="AG184" s="37"/>
      <c r="AH184" s="38"/>
    </row>
    <row r="185" spans="31:34" x14ac:dyDescent="0.2">
      <c r="AE185" s="37"/>
      <c r="AF185" s="37"/>
      <c r="AG185" s="37"/>
      <c r="AH185" s="38"/>
    </row>
    <row r="186" spans="31:34" x14ac:dyDescent="0.2">
      <c r="AE186" s="37"/>
      <c r="AF186" s="37"/>
      <c r="AG186" s="37"/>
      <c r="AH186" s="38"/>
    </row>
    <row r="187" spans="31:34" x14ac:dyDescent="0.2">
      <c r="AE187" s="37"/>
      <c r="AF187" s="37"/>
      <c r="AG187" s="37"/>
      <c r="AH187" s="38"/>
    </row>
    <row r="188" spans="31:34" x14ac:dyDescent="0.2">
      <c r="AE188" s="37"/>
      <c r="AF188" s="37"/>
      <c r="AG188" s="37"/>
      <c r="AH188" s="38"/>
    </row>
    <row r="189" spans="31:34" x14ac:dyDescent="0.2">
      <c r="AE189" s="37"/>
      <c r="AF189" s="37"/>
      <c r="AG189" s="37"/>
      <c r="AH189" s="38"/>
    </row>
    <row r="190" spans="31:34" x14ac:dyDescent="0.2">
      <c r="AE190" s="37"/>
      <c r="AF190" s="37"/>
      <c r="AG190" s="37"/>
      <c r="AH190" s="38"/>
    </row>
    <row r="191" spans="31:34" x14ac:dyDescent="0.2">
      <c r="AE191" s="37"/>
      <c r="AF191" s="37"/>
      <c r="AG191" s="37"/>
      <c r="AH191" s="38"/>
    </row>
    <row r="192" spans="31:34" x14ac:dyDescent="0.2">
      <c r="AE192" s="37"/>
      <c r="AF192" s="37"/>
      <c r="AG192" s="37"/>
      <c r="AH192" s="38"/>
    </row>
    <row r="193" spans="31:35" x14ac:dyDescent="0.2">
      <c r="AE193" s="37"/>
      <c r="AF193" s="37"/>
      <c r="AG193" s="37"/>
      <c r="AH193" s="38"/>
    </row>
    <row r="194" spans="31:35" x14ac:dyDescent="0.2">
      <c r="AE194" s="36"/>
      <c r="AF194" s="36"/>
      <c r="AG194" s="36"/>
      <c r="AH194" s="35"/>
      <c r="AI194" s="28"/>
    </row>
    <row r="195" spans="31:35" x14ac:dyDescent="0.2">
      <c r="AE195" s="37"/>
      <c r="AF195" s="37"/>
      <c r="AG195" s="37"/>
      <c r="AH195" s="38"/>
    </row>
    <row r="196" spans="31:35" x14ac:dyDescent="0.2">
      <c r="AE196" s="37"/>
      <c r="AF196" s="37"/>
      <c r="AG196" s="37"/>
      <c r="AH196" s="38"/>
    </row>
    <row r="197" spans="31:35" x14ac:dyDescent="0.2">
      <c r="AE197" s="37"/>
      <c r="AF197" s="37"/>
      <c r="AG197" s="37"/>
      <c r="AH197" s="38"/>
    </row>
    <row r="198" spans="31:35" x14ac:dyDescent="0.2">
      <c r="AE198" s="37"/>
      <c r="AF198" s="37"/>
      <c r="AG198" s="37"/>
      <c r="AH198" s="38"/>
    </row>
    <row r="199" spans="31:35" x14ac:dyDescent="0.2">
      <c r="AE199" s="37"/>
      <c r="AF199" s="37"/>
      <c r="AG199" s="37"/>
      <c r="AH199" s="38"/>
    </row>
    <row r="200" spans="31:35" x14ac:dyDescent="0.2">
      <c r="AE200" s="37"/>
      <c r="AF200" s="37"/>
      <c r="AG200" s="37"/>
      <c r="AH200" s="38"/>
    </row>
    <row r="201" spans="31:35" x14ac:dyDescent="0.2">
      <c r="AE201" s="37"/>
      <c r="AF201" s="37"/>
      <c r="AG201" s="37"/>
      <c r="AH201" s="38"/>
    </row>
    <row r="202" spans="31:35" x14ac:dyDescent="0.2">
      <c r="AE202" s="37"/>
      <c r="AF202" s="37"/>
      <c r="AG202" s="37"/>
      <c r="AH202" s="38"/>
    </row>
    <row r="203" spans="31:35" x14ac:dyDescent="0.2">
      <c r="AE203" s="37"/>
      <c r="AF203" s="37"/>
      <c r="AG203" s="37"/>
      <c r="AH203" s="38"/>
    </row>
    <row r="204" spans="31:35" x14ac:dyDescent="0.2">
      <c r="AE204" s="37"/>
      <c r="AF204" s="37"/>
      <c r="AG204" s="37"/>
      <c r="AH204" s="38"/>
    </row>
    <row r="205" spans="31:35" x14ac:dyDescent="0.2">
      <c r="AE205" s="37"/>
      <c r="AF205" s="37"/>
      <c r="AG205" s="37"/>
      <c r="AH205" s="38"/>
    </row>
    <row r="206" spans="31:35" x14ac:dyDescent="0.2">
      <c r="AE206" s="37"/>
      <c r="AF206" s="37"/>
      <c r="AG206" s="37"/>
      <c r="AH206" s="38"/>
    </row>
    <row r="207" spans="31:35" x14ac:dyDescent="0.2">
      <c r="AE207" s="37"/>
      <c r="AF207" s="37"/>
      <c r="AG207" s="37"/>
      <c r="AH207" s="38"/>
    </row>
    <row r="208" spans="31:35" x14ac:dyDescent="0.2">
      <c r="AE208" s="37"/>
      <c r="AF208" s="37"/>
      <c r="AG208" s="37"/>
      <c r="AH208" s="38"/>
    </row>
    <row r="209" spans="31:34" x14ac:dyDescent="0.2">
      <c r="AE209" s="37"/>
      <c r="AF209" s="37"/>
      <c r="AG209" s="37"/>
      <c r="AH209" s="38"/>
    </row>
    <row r="210" spans="31:34" x14ac:dyDescent="0.2">
      <c r="AE210" s="37"/>
      <c r="AF210" s="37"/>
      <c r="AG210" s="37"/>
      <c r="AH210" s="38"/>
    </row>
    <row r="211" spans="31:34" x14ac:dyDescent="0.2">
      <c r="AE211" s="37"/>
      <c r="AF211" s="37"/>
      <c r="AG211" s="37"/>
      <c r="AH211" s="38"/>
    </row>
    <row r="212" spans="31:34" x14ac:dyDescent="0.2">
      <c r="AE212" s="37"/>
      <c r="AF212" s="37"/>
      <c r="AG212" s="37"/>
      <c r="AH212" s="38"/>
    </row>
    <row r="213" spans="31:34" x14ac:dyDescent="0.2">
      <c r="AE213" s="37"/>
      <c r="AF213" s="37"/>
      <c r="AG213" s="37"/>
      <c r="AH213" s="38"/>
    </row>
    <row r="214" spans="31:34" x14ac:dyDescent="0.2">
      <c r="AE214" s="37"/>
      <c r="AF214" s="37"/>
      <c r="AG214" s="37"/>
      <c r="AH214" s="38"/>
    </row>
    <row r="215" spans="31:34" x14ac:dyDescent="0.2">
      <c r="AE215" s="37"/>
      <c r="AF215" s="37"/>
      <c r="AG215" s="37"/>
      <c r="AH215" s="38"/>
    </row>
    <row r="239" spans="31:33" x14ac:dyDescent="0.2">
      <c r="AE239" s="34"/>
      <c r="AF239" s="34"/>
      <c r="AG239" s="34"/>
    </row>
    <row r="265" spans="1:30" x14ac:dyDescent="0.2">
      <c r="A265" s="28"/>
      <c r="AD265" s="28"/>
    </row>
  </sheetData>
  <sortState xmlns:xlrd2="http://schemas.microsoft.com/office/spreadsheetml/2017/richdata2" ref="B2:AC150">
    <sortCondition descending="1" ref="O2:O1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Hall of Fame</vt:lpstr>
      <vt:lpstr>MVP</vt:lpstr>
      <vt:lpstr>That Pitcher Award</vt:lpstr>
      <vt:lpstr>Reliever of Year</vt:lpstr>
      <vt:lpstr>Rookie of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cp:lastModifiedBy>Sean Stephans</cp:lastModifiedBy>
  <dcterms:created xsi:type="dcterms:W3CDTF">2021-08-05T09:57:47Z</dcterms:created>
  <dcterms:modified xsi:type="dcterms:W3CDTF">2021-08-08T06:19:28Z</dcterms:modified>
</cp:coreProperties>
</file>